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mc:AlternateContent xmlns:mc="http://schemas.openxmlformats.org/markup-compatibility/2006">
    <mc:Choice Requires="x15">
      <x15ac:absPath xmlns:x15ac="http://schemas.microsoft.com/office/spreadsheetml/2010/11/ac" url="C:\Users\mmarano\Box\MMarano Personal Folder\Reports\TCOF\TCOF Nov\"/>
    </mc:Choice>
  </mc:AlternateContent>
  <xr:revisionPtr revIDLastSave="0" documentId="8_{EC437FE2-8C0F-4BD4-94E5-475DCEC59440}" xr6:coauthVersionLast="47" xr6:coauthVersionMax="47" xr10:uidLastSave="{00000000-0000-0000-0000-000000000000}"/>
  <bookViews>
    <workbookView xWindow="-28920" yWindow="-120" windowWidth="29040" windowHeight="15840" tabRatio="844" xr2:uid="{21252052-83E8-43D3-9642-6838CCCFE45F}"/>
  </bookViews>
  <sheets>
    <sheet name="Overview" sheetId="3" r:id="rId1"/>
    <sheet name="Baseline with discounts &gt;&gt;&gt;" sheetId="43" r:id="rId2"/>
    <sheet name="Baseline without discounts" sheetId="19" r:id="rId3"/>
    <sheet name="Discount rate logic" sheetId="41" r:id="rId4"/>
    <sheet name="Poverty alleviation summary" sheetId="49" r:id="rId5"/>
    <sheet name="Consumption metric inputs" sheetId="34" r:id="rId6"/>
    <sheet name="L1Maximizing Participation &gt;&gt;&gt;" sheetId="50" r:id="rId7"/>
    <sheet name="L1Maximize Participation Logic" sheetId="51" r:id="rId8"/>
    <sheet name="L1Food Waste" sheetId="55" r:id="rId9"/>
    <sheet name="L1Maximize Participatio Costs" sheetId="52" r:id="rId10"/>
    <sheet name="L2 Improved Diet Composition &gt;&gt;" sheetId="44" r:id="rId11"/>
    <sheet name="L2Production Metrics" sheetId="47" r:id="rId12"/>
    <sheet name="L2Health Benefits" sheetId="48" r:id="rId13"/>
    <sheet name="L2Diet Comparison" sheetId="46" r:id="rId14"/>
    <sheet name="L2Diet Components" sheetId="45" r:id="rId15"/>
    <sheet name="L2Costs" sheetId="31" r:id="rId16"/>
    <sheet name="L3Optimizing Procurement &gt;&gt;&gt;" sheetId="30" r:id="rId17"/>
    <sheet name="L3Procurement Benefits" sheetId="53" r:id="rId18"/>
    <sheet name="L3Reimbursement Scenario" sheetId="39" r:id="rId19"/>
    <sheet name="Supporting data &gt;&gt;&gt;" sheetId="23" r:id="rId20"/>
    <sheet name="Monetization factors" sheetId="56" r:id="rId21"/>
    <sheet name="GHG inputs" sheetId="36" r:id="rId22"/>
  </sheets>
  <definedNames>
    <definedName name="_xlnm._FilterDatabase" localSheetId="5" hidden="1">'Consumption metric inputs'!$B$4:$F$4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43" l="1"/>
  <c r="C13" i="19"/>
  <c r="D13" i="19"/>
  <c r="E13" i="19"/>
  <c r="E11" i="43"/>
  <c r="K21" i="3"/>
  <c r="N16" i="3"/>
  <c r="N17" i="3"/>
  <c r="N18" i="3"/>
  <c r="N19" i="3"/>
  <c r="N20" i="3"/>
  <c r="N15" i="3"/>
  <c r="C4" i="39"/>
  <c r="N21" i="3" l="1"/>
  <c r="D42" i="19"/>
  <c r="F18" i="3" l="1"/>
  <c r="D18" i="3"/>
  <c r="G17" i="3"/>
  <c r="G18" i="3"/>
  <c r="G19" i="3"/>
  <c r="G20" i="3"/>
  <c r="G21" i="3"/>
  <c r="G22" i="3"/>
  <c r="G23" i="3"/>
  <c r="G24" i="3"/>
  <c r="G26" i="3"/>
  <c r="G27" i="3"/>
  <c r="G28" i="3"/>
  <c r="G29" i="3"/>
  <c r="G30" i="3"/>
  <c r="G31" i="3"/>
  <c r="G32" i="3"/>
  <c r="G33" i="3"/>
  <c r="G34" i="3"/>
  <c r="G35" i="3"/>
  <c r="F25" i="3"/>
  <c r="E25" i="3"/>
  <c r="D25" i="3"/>
  <c r="F21" i="3"/>
  <c r="F22" i="3"/>
  <c r="F23" i="3"/>
  <c r="F24" i="3"/>
  <c r="F26" i="3"/>
  <c r="M18" i="3" s="1"/>
  <c r="E26" i="3"/>
  <c r="L18" i="3" s="1"/>
  <c r="D26" i="3"/>
  <c r="K18" i="3" s="1"/>
  <c r="E18" i="53"/>
  <c r="G18" i="53" s="1"/>
  <c r="G22" i="30" s="1"/>
  <c r="G16" i="3" s="1"/>
  <c r="I3" i="56"/>
  <c r="M17" i="3" l="1"/>
  <c r="H2" i="56"/>
  <c r="G17" i="53" s="1"/>
  <c r="G21" i="30" s="1"/>
  <c r="G15" i="3" s="1"/>
  <c r="G36" i="3" s="1"/>
  <c r="G5" i="3" s="1"/>
  <c r="G16" i="53"/>
  <c r="G20" i="30" s="1"/>
  <c r="G25" i="3" s="1"/>
  <c r="G23" i="30" l="1"/>
  <c r="C4" i="30" s="1"/>
  <c r="G12" i="56"/>
  <c r="G11" i="56"/>
  <c r="G10" i="56"/>
  <c r="G9" i="56"/>
  <c r="G8" i="56"/>
  <c r="G7" i="56"/>
  <c r="G6" i="56"/>
  <c r="G5" i="56"/>
  <c r="G4" i="56"/>
  <c r="G3" i="56"/>
  <c r="G2" i="56"/>
  <c r="G21" i="53" s="1"/>
  <c r="C11" i="39" l="1"/>
  <c r="D5" i="43" l="1"/>
  <c r="D6" i="43"/>
  <c r="D8" i="43"/>
  <c r="I14" i="51"/>
  <c r="I10" i="51"/>
  <c r="I15" i="51" s="1"/>
  <c r="C7" i="55" l="1"/>
  <c r="D10" i="48"/>
  <c r="C54" i="49"/>
  <c r="I44" i="49" s="1"/>
  <c r="D9" i="3"/>
  <c r="D41" i="49"/>
  <c r="D42" i="49"/>
  <c r="D43" i="49"/>
  <c r="D44" i="49"/>
  <c r="D45" i="49"/>
  <c r="D46" i="49"/>
  <c r="D40" i="49"/>
  <c r="D22" i="49"/>
  <c r="D23" i="49"/>
  <c r="D24" i="49"/>
  <c r="D25" i="49"/>
  <c r="D26" i="49"/>
  <c r="D27" i="49"/>
  <c r="D21" i="49"/>
  <c r="E7" i="34"/>
  <c r="E9" i="34" s="1"/>
  <c r="G50" i="19" s="1"/>
  <c r="E14" i="47"/>
  <c r="D14" i="47"/>
  <c r="H14" i="47" s="1"/>
  <c r="D22" i="48"/>
  <c r="F22" i="48" s="1"/>
  <c r="C22" i="52"/>
  <c r="C6" i="52" s="1"/>
  <c r="C20" i="52"/>
  <c r="D17" i="41"/>
  <c r="D19" i="41"/>
  <c r="J29" i="41"/>
  <c r="H30" i="41"/>
  <c r="H31" i="41" s="1"/>
  <c r="E41" i="49"/>
  <c r="E42" i="49"/>
  <c r="F42" i="49" s="1"/>
  <c r="E43" i="49"/>
  <c r="F43" i="49" s="1"/>
  <c r="E44" i="49"/>
  <c r="E45" i="49"/>
  <c r="E46" i="49"/>
  <c r="E47" i="49"/>
  <c r="E40" i="49"/>
  <c r="E28" i="49"/>
  <c r="E27" i="49"/>
  <c r="F27" i="49" s="1"/>
  <c r="I27" i="49" s="1"/>
  <c r="E26" i="49"/>
  <c r="F26" i="49" s="1"/>
  <c r="I26" i="49" s="1"/>
  <c r="E25" i="49"/>
  <c r="E24" i="49"/>
  <c r="F24" i="49" s="1"/>
  <c r="I24" i="49" s="1"/>
  <c r="E23" i="49"/>
  <c r="E22" i="49"/>
  <c r="E21" i="49"/>
  <c r="C14" i="51"/>
  <c r="H14" i="51" s="1"/>
  <c r="C6" i="51"/>
  <c r="C7" i="51" s="1"/>
  <c r="C10" i="51"/>
  <c r="H10" i="51" s="1"/>
  <c r="D23" i="41"/>
  <c r="I29" i="41"/>
  <c r="C47" i="49"/>
  <c r="C37" i="49"/>
  <c r="G45" i="49" s="1"/>
  <c r="C28" i="49"/>
  <c r="E40" i="34"/>
  <c r="E37" i="34"/>
  <c r="E41" i="34" s="1"/>
  <c r="E42" i="34" s="1"/>
  <c r="E43" i="34" s="1"/>
  <c r="E45" i="34" s="1"/>
  <c r="E47" i="34" s="1"/>
  <c r="H66" i="19" s="1"/>
  <c r="I66" i="19" s="1"/>
  <c r="E30" i="34"/>
  <c r="E32" i="34" s="1"/>
  <c r="E34" i="34" s="1"/>
  <c r="E38" i="34" s="1"/>
  <c r="E39" i="34" s="1"/>
  <c r="G47" i="49"/>
  <c r="E29" i="41"/>
  <c r="C30" i="41" s="1"/>
  <c r="E4" i="3"/>
  <c r="F4" i="3"/>
  <c r="F8" i="3"/>
  <c r="E8" i="3"/>
  <c r="D8" i="3"/>
  <c r="D4" i="3"/>
  <c r="G25" i="48"/>
  <c r="H24" i="48"/>
  <c r="H23" i="48"/>
  <c r="H21" i="48"/>
  <c r="H19" i="48"/>
  <c r="D19" i="48"/>
  <c r="H18" i="48"/>
  <c r="H17" i="48"/>
  <c r="D17" i="48"/>
  <c r="E25" i="47"/>
  <c r="F24" i="47"/>
  <c r="F26" i="47"/>
  <c r="E24" i="47"/>
  <c r="E26" i="47" s="1"/>
  <c r="E27" i="47" s="1"/>
  <c r="D24" i="47"/>
  <c r="D26" i="47" s="1"/>
  <c r="F23" i="47"/>
  <c r="F25" i="47" s="1"/>
  <c r="E23" i="47"/>
  <c r="D23" i="47"/>
  <c r="D25" i="47" s="1"/>
  <c r="J13" i="47"/>
  <c r="I13" i="47"/>
  <c r="H13" i="47"/>
  <c r="G35" i="19" s="1"/>
  <c r="J12" i="47"/>
  <c r="I12" i="47"/>
  <c r="H12" i="47"/>
  <c r="J11" i="47"/>
  <c r="I11" i="47"/>
  <c r="H11" i="47"/>
  <c r="J10" i="47"/>
  <c r="I10" i="47"/>
  <c r="H10" i="47"/>
  <c r="J9" i="47"/>
  <c r="I9" i="47"/>
  <c r="H9" i="47"/>
  <c r="G32" i="19" s="1"/>
  <c r="J8" i="47"/>
  <c r="I8" i="47"/>
  <c r="H8" i="47"/>
  <c r="G31" i="19" s="1"/>
  <c r="D28" i="46"/>
  <c r="D25" i="46"/>
  <c r="G10" i="46"/>
  <c r="D20" i="46" s="1"/>
  <c r="G7" i="46"/>
  <c r="E15" i="46"/>
  <c r="E8" i="46"/>
  <c r="F8" i="46"/>
  <c r="E9" i="46"/>
  <c r="F9" i="46"/>
  <c r="E10" i="46"/>
  <c r="F10" i="46"/>
  <c r="E11" i="46"/>
  <c r="E12" i="46"/>
  <c r="E13" i="46"/>
  <c r="E14" i="46"/>
  <c r="F14" i="46"/>
  <c r="D8" i="46"/>
  <c r="D9" i="46"/>
  <c r="D10" i="46"/>
  <c r="D11" i="46"/>
  <c r="D12" i="46"/>
  <c r="D13" i="46"/>
  <c r="D14" i="46"/>
  <c r="C8" i="46"/>
  <c r="C9" i="46"/>
  <c r="C10" i="46"/>
  <c r="C11" i="46"/>
  <c r="C12" i="46"/>
  <c r="C13" i="46"/>
  <c r="C14" i="46"/>
  <c r="B8" i="46"/>
  <c r="B9" i="46"/>
  <c r="B10" i="46"/>
  <c r="B11" i="46"/>
  <c r="B12" i="46"/>
  <c r="B13" i="46"/>
  <c r="B14" i="46"/>
  <c r="C7" i="46"/>
  <c r="D7" i="46"/>
  <c r="E7" i="46"/>
  <c r="F7" i="46"/>
  <c r="B7" i="46"/>
  <c r="L39" i="45"/>
  <c r="L40" i="45"/>
  <c r="L41" i="45" s="1"/>
  <c r="L38" i="45"/>
  <c r="D24" i="46" s="1"/>
  <c r="L31" i="45"/>
  <c r="M31" i="45" s="1"/>
  <c r="L20" i="45"/>
  <c r="D22" i="46" s="1"/>
  <c r="L21" i="45"/>
  <c r="D23" i="46" s="1"/>
  <c r="L22" i="45"/>
  <c r="L23" i="45"/>
  <c r="L30" i="45"/>
  <c r="M30" i="45" s="1"/>
  <c r="M32" i="45" s="1"/>
  <c r="M33" i="45" s="1"/>
  <c r="L19" i="45"/>
  <c r="L24" i="45" s="1"/>
  <c r="L13" i="45"/>
  <c r="M13" i="45"/>
  <c r="L7" i="45"/>
  <c r="M7" i="45"/>
  <c r="G8" i="46" s="1"/>
  <c r="L8" i="45"/>
  <c r="M8" i="45"/>
  <c r="D21" i="46" s="1"/>
  <c r="L9" i="45"/>
  <c r="M9" i="45"/>
  <c r="L10" i="45"/>
  <c r="F11" i="46" s="1"/>
  <c r="L11" i="45"/>
  <c r="F12" i="46" s="1"/>
  <c r="L12" i="45"/>
  <c r="M12" i="45" s="1"/>
  <c r="H32" i="44"/>
  <c r="H31" i="44"/>
  <c r="H30" i="44"/>
  <c r="H29" i="44"/>
  <c r="H28" i="44"/>
  <c r="C12" i="44"/>
  <c r="C11" i="44"/>
  <c r="E20" i="43"/>
  <c r="E26" i="43"/>
  <c r="E17" i="43"/>
  <c r="D14" i="41"/>
  <c r="D20" i="41"/>
  <c r="D29" i="41"/>
  <c r="E21" i="43"/>
  <c r="E19" i="43"/>
  <c r="E18" i="43"/>
  <c r="H20" i="48"/>
  <c r="M10" i="45"/>
  <c r="G11" i="46" s="1"/>
  <c r="D27" i="46" s="1"/>
  <c r="F75" i="36"/>
  <c r="D73" i="36"/>
  <c r="D72" i="36"/>
  <c r="D71" i="36"/>
  <c r="C71" i="36"/>
  <c r="D70" i="36"/>
  <c r="C70" i="36"/>
  <c r="D69" i="36"/>
  <c r="C69" i="36"/>
  <c r="I67" i="36"/>
  <c r="D66" i="36"/>
  <c r="J59" i="36"/>
  <c r="C59" i="36"/>
  <c r="C60" i="36"/>
  <c r="D53" i="36"/>
  <c r="C76" i="36"/>
  <c r="C52" i="36"/>
  <c r="E53" i="36"/>
  <c r="D76" i="36"/>
  <c r="C38" i="36"/>
  <c r="E30" i="36"/>
  <c r="D68" i="36"/>
  <c r="D30" i="36"/>
  <c r="C68" i="36"/>
  <c r="E29" i="36"/>
  <c r="D29" i="36"/>
  <c r="E28" i="36"/>
  <c r="D28" i="36"/>
  <c r="E27" i="36"/>
  <c r="D27" i="36"/>
  <c r="E22" i="36"/>
  <c r="D22" i="36"/>
  <c r="E21" i="36"/>
  <c r="D21" i="36"/>
  <c r="E20" i="36"/>
  <c r="D20" i="36"/>
  <c r="E19" i="36"/>
  <c r="E23" i="36"/>
  <c r="D67" i="36"/>
  <c r="D19" i="36"/>
  <c r="D23" i="36"/>
  <c r="C67" i="36"/>
  <c r="E18" i="36"/>
  <c r="D18" i="36"/>
  <c r="E17" i="36"/>
  <c r="D17" i="36"/>
  <c r="C13" i="36"/>
  <c r="C66" i="36"/>
  <c r="C7" i="36"/>
  <c r="D65" i="36"/>
  <c r="D75" i="36"/>
  <c r="D61" i="36"/>
  <c r="C77" i="36"/>
  <c r="E61" i="36"/>
  <c r="D77" i="36"/>
  <c r="C65" i="36"/>
  <c r="E22" i="34"/>
  <c r="E20" i="34"/>
  <c r="E21" i="34"/>
  <c r="E18" i="34"/>
  <c r="E15" i="34"/>
  <c r="E12" i="34"/>
  <c r="E6" i="34"/>
  <c r="C12" i="19"/>
  <c r="C28" i="31"/>
  <c r="C24" i="31"/>
  <c r="C16" i="31"/>
  <c r="C20" i="31" s="1"/>
  <c r="C31" i="31" s="1"/>
  <c r="C43" i="31" s="1"/>
  <c r="C44" i="31" s="1"/>
  <c r="C29" i="31" s="1"/>
  <c r="C32" i="31" s="1"/>
  <c r="C18" i="44" s="1"/>
  <c r="F9" i="3" s="1"/>
  <c r="C12" i="31"/>
  <c r="C30" i="31" s="1"/>
  <c r="E36" i="19"/>
  <c r="F36" i="19" s="1"/>
  <c r="E50" i="19"/>
  <c r="F50" i="19" s="1"/>
  <c r="C23" i="19"/>
  <c r="C13" i="39"/>
  <c r="C5" i="39" s="1"/>
  <c r="F25" i="48" l="1"/>
  <c r="C11" i="48" s="1"/>
  <c r="D11" i="48" s="1"/>
  <c r="D12" i="48" s="1"/>
  <c r="C4" i="48" s="1"/>
  <c r="H22" i="48"/>
  <c r="G13" i="46"/>
  <c r="D29" i="46" s="1"/>
  <c r="M11" i="45"/>
  <c r="L42" i="45" s="1"/>
  <c r="G14" i="46"/>
  <c r="D30" i="46" s="1"/>
  <c r="G9" i="46"/>
  <c r="D26" i="46"/>
  <c r="F13" i="46"/>
  <c r="L25" i="45"/>
  <c r="L14" i="45"/>
  <c r="D27" i="47"/>
  <c r="I25" i="47" s="1"/>
  <c r="F27" i="47"/>
  <c r="G41" i="19"/>
  <c r="J25" i="47"/>
  <c r="H25" i="47"/>
  <c r="G33" i="19"/>
  <c r="G34" i="19"/>
  <c r="C9" i="49"/>
  <c r="H36" i="19"/>
  <c r="E38" i="19"/>
  <c r="F38" i="19" s="1"/>
  <c r="E37" i="19"/>
  <c r="F37" i="19" s="1"/>
  <c r="E32" i="19"/>
  <c r="F32" i="19" s="1"/>
  <c r="E40" i="19"/>
  <c r="F40" i="19" s="1"/>
  <c r="E33" i="19"/>
  <c r="F33" i="19" s="1"/>
  <c r="E41" i="19"/>
  <c r="F41" i="19" s="1"/>
  <c r="E34" i="19"/>
  <c r="F34" i="19" s="1"/>
  <c r="E39" i="19"/>
  <c r="F39" i="19" s="1"/>
  <c r="E31" i="19"/>
  <c r="F31" i="19" s="1"/>
  <c r="E35" i="19"/>
  <c r="F35" i="19" s="1"/>
  <c r="F58" i="19"/>
  <c r="C11" i="19"/>
  <c r="F23" i="49"/>
  <c r="I23" i="49" s="1"/>
  <c r="H50" i="19"/>
  <c r="D33" i="43" s="1"/>
  <c r="F45" i="49"/>
  <c r="F74" i="36"/>
  <c r="G73" i="36"/>
  <c r="G69" i="36"/>
  <c r="G66" i="36"/>
  <c r="F66" i="36"/>
  <c r="J73" i="36"/>
  <c r="G67" i="36"/>
  <c r="K67" i="36" s="1"/>
  <c r="G72" i="36"/>
  <c r="F76" i="36"/>
  <c r="G76" i="36"/>
  <c r="F25" i="49"/>
  <c r="I25" i="49" s="1"/>
  <c r="F22" i="49"/>
  <c r="I22" i="49" s="1"/>
  <c r="F40" i="49"/>
  <c r="G41" i="49"/>
  <c r="F46" i="49"/>
  <c r="I43" i="49"/>
  <c r="D28" i="49"/>
  <c r="F28" i="49" s="1"/>
  <c r="I28" i="49" s="1"/>
  <c r="G43" i="49"/>
  <c r="J43" i="49" s="1"/>
  <c r="G46" i="49"/>
  <c r="G40" i="49"/>
  <c r="G42" i="49"/>
  <c r="G44" i="49"/>
  <c r="F44" i="49"/>
  <c r="D47" i="49"/>
  <c r="F47" i="49" s="1"/>
  <c r="I42" i="49"/>
  <c r="I41" i="49"/>
  <c r="I40" i="49"/>
  <c r="I47" i="49"/>
  <c r="F41" i="49"/>
  <c r="I46" i="49"/>
  <c r="F21" i="49"/>
  <c r="I21" i="49" s="1"/>
  <c r="I45" i="49"/>
  <c r="C16" i="51"/>
  <c r="C15" i="51"/>
  <c r="H15" i="51"/>
  <c r="C11" i="51"/>
  <c r="D24" i="41"/>
  <c r="C31" i="41"/>
  <c r="D30" i="41"/>
  <c r="H32" i="41"/>
  <c r="I31" i="41"/>
  <c r="I30" i="41"/>
  <c r="D74" i="36"/>
  <c r="D78" i="36" s="1"/>
  <c r="G75" i="36"/>
  <c r="G65" i="36"/>
  <c r="F73" i="36"/>
  <c r="C78" i="36"/>
  <c r="F72" i="36"/>
  <c r="J74" i="36" s="1"/>
  <c r="G68" i="36"/>
  <c r="K68" i="36" s="1"/>
  <c r="F70" i="36"/>
  <c r="G71" i="36"/>
  <c r="G77" i="36"/>
  <c r="F69" i="36"/>
  <c r="F65" i="36"/>
  <c r="F68" i="36"/>
  <c r="J68" i="36" s="1"/>
  <c r="F67" i="36"/>
  <c r="J67" i="36" s="1"/>
  <c r="G70" i="36"/>
  <c r="F77" i="36"/>
  <c r="F71" i="36"/>
  <c r="C17" i="51" l="1"/>
  <c r="C18" i="51" s="1"/>
  <c r="C12" i="52" s="1"/>
  <c r="C13" i="52" s="1"/>
  <c r="C5" i="52" s="1"/>
  <c r="C4" i="52" s="1"/>
  <c r="C18" i="50" s="1"/>
  <c r="E9" i="3" s="1"/>
  <c r="C8" i="55"/>
  <c r="C9" i="55" s="1"/>
  <c r="C10" i="55" s="1"/>
  <c r="D49" i="50" s="1"/>
  <c r="F49" i="50" s="1"/>
  <c r="E18" i="3" s="1"/>
  <c r="I36" i="19"/>
  <c r="D22" i="43"/>
  <c r="F15" i="46"/>
  <c r="M14" i="45"/>
  <c r="G12" i="46"/>
  <c r="H25" i="48"/>
  <c r="C12" i="48"/>
  <c r="C6" i="49"/>
  <c r="I50" i="19"/>
  <c r="H35" i="19"/>
  <c r="H37" i="19"/>
  <c r="D23" i="43" s="1"/>
  <c r="H38" i="19"/>
  <c r="D24" i="43" s="1"/>
  <c r="H39" i="19"/>
  <c r="D25" i="43" s="1"/>
  <c r="C9" i="19"/>
  <c r="H32" i="19"/>
  <c r="C8" i="19"/>
  <c r="H41" i="19"/>
  <c r="C7" i="19"/>
  <c r="H31" i="19"/>
  <c r="D17" i="43" s="1"/>
  <c r="H33" i="19"/>
  <c r="F42" i="19"/>
  <c r="C10" i="19"/>
  <c r="H40" i="19"/>
  <c r="H34" i="19"/>
  <c r="J45" i="49"/>
  <c r="C11" i="49" s="1"/>
  <c r="D82" i="36"/>
  <c r="J42" i="49"/>
  <c r="C8" i="49" s="1"/>
  <c r="H51" i="19" s="1"/>
  <c r="J47" i="49"/>
  <c r="C13" i="49" s="1"/>
  <c r="H54" i="19"/>
  <c r="H56" i="19"/>
  <c r="J44" i="49"/>
  <c r="C10" i="49" s="1"/>
  <c r="J46" i="49"/>
  <c r="C12" i="49" s="1"/>
  <c r="J40" i="49"/>
  <c r="J41" i="49"/>
  <c r="C7" i="49" s="1"/>
  <c r="C2" i="51"/>
  <c r="D31" i="41"/>
  <c r="C32" i="41"/>
  <c r="H33" i="41"/>
  <c r="I32" i="41"/>
  <c r="G74" i="36"/>
  <c r="K74" i="36" s="1"/>
  <c r="K73" i="36"/>
  <c r="K69" i="36"/>
  <c r="D84" i="36"/>
  <c r="G78" i="36"/>
  <c r="K70" i="36" s="1"/>
  <c r="C83" i="36"/>
  <c r="J69" i="36"/>
  <c r="C82" i="36"/>
  <c r="C84" i="36"/>
  <c r="F78" i="36"/>
  <c r="D26" i="43" l="1"/>
  <c r="F26" i="43" s="1"/>
  <c r="G15" i="46"/>
  <c r="N12" i="45"/>
  <c r="N8" i="45"/>
  <c r="N13" i="45"/>
  <c r="N7" i="45"/>
  <c r="N9" i="45"/>
  <c r="N10" i="45"/>
  <c r="N11" i="45"/>
  <c r="D18" i="43"/>
  <c r="F18" i="43" s="1"/>
  <c r="D19" i="43"/>
  <c r="F19" i="43" s="1"/>
  <c r="D21" i="43"/>
  <c r="F21" i="43" s="1"/>
  <c r="D27" i="43"/>
  <c r="D20" i="43"/>
  <c r="F20" i="43" s="1"/>
  <c r="I56" i="19"/>
  <c r="D39" i="43"/>
  <c r="I51" i="19"/>
  <c r="D34" i="43"/>
  <c r="I54" i="19"/>
  <c r="D38" i="43"/>
  <c r="I33" i="19"/>
  <c r="I31" i="19"/>
  <c r="I38" i="19"/>
  <c r="F17" i="43"/>
  <c r="I34" i="19"/>
  <c r="I37" i="19"/>
  <c r="I32" i="19"/>
  <c r="I40" i="19"/>
  <c r="D10" i="19" s="1"/>
  <c r="E10" i="19" s="1"/>
  <c r="I35" i="19"/>
  <c r="H42" i="19"/>
  <c r="I41" i="19"/>
  <c r="I39" i="19"/>
  <c r="F82" i="36"/>
  <c r="J70" i="36"/>
  <c r="H52" i="19"/>
  <c r="D35" i="43" s="1"/>
  <c r="H53" i="19"/>
  <c r="H57" i="19"/>
  <c r="D37" i="43" s="1"/>
  <c r="H55" i="19"/>
  <c r="D36" i="43" s="1"/>
  <c r="E31" i="50"/>
  <c r="E43" i="50"/>
  <c r="E32" i="50"/>
  <c r="E41" i="50"/>
  <c r="E33" i="50"/>
  <c r="E38" i="50"/>
  <c r="E42" i="50"/>
  <c r="E34" i="50"/>
  <c r="E39" i="50"/>
  <c r="E44" i="50"/>
  <c r="E45" i="50"/>
  <c r="E27" i="50"/>
  <c r="E35" i="50"/>
  <c r="E40" i="50"/>
  <c r="E28" i="50"/>
  <c r="E36" i="50"/>
  <c r="C21" i="50"/>
  <c r="E30" i="50"/>
  <c r="E29" i="50"/>
  <c r="E37" i="50"/>
  <c r="H34" i="41"/>
  <c r="I33" i="41"/>
  <c r="C33" i="41"/>
  <c r="D32" i="41"/>
  <c r="D83" i="36"/>
  <c r="F83" i="36" s="1"/>
  <c r="D11" i="19" l="1"/>
  <c r="E32" i="44"/>
  <c r="E8" i="43"/>
  <c r="D36" i="50"/>
  <c r="D28" i="43"/>
  <c r="D31" i="50"/>
  <c r="F31" i="50" s="1"/>
  <c r="E20" i="3" s="1"/>
  <c r="E27" i="44"/>
  <c r="F27" i="44" s="1"/>
  <c r="H27" i="44" s="1"/>
  <c r="D20" i="3"/>
  <c r="D19" i="3"/>
  <c r="K16" i="3" s="1"/>
  <c r="E26" i="44"/>
  <c r="F26" i="44" s="1"/>
  <c r="F19" i="3" s="1"/>
  <c r="D30" i="50"/>
  <c r="E6" i="43"/>
  <c r="D17" i="3"/>
  <c r="D29" i="50"/>
  <c r="F29" i="50" s="1"/>
  <c r="E17" i="3" s="1"/>
  <c r="E25" i="44"/>
  <c r="F25" i="44" s="1"/>
  <c r="H25" i="44" s="1"/>
  <c r="D16" i="3"/>
  <c r="D28" i="50"/>
  <c r="F28" i="50" s="1"/>
  <c r="E16" i="3" s="1"/>
  <c r="E24" i="44"/>
  <c r="F24" i="44" s="1"/>
  <c r="F16" i="3" s="1"/>
  <c r="F27" i="43"/>
  <c r="I53" i="19"/>
  <c r="D40" i="43"/>
  <c r="F20" i="3"/>
  <c r="D7" i="19"/>
  <c r="E7" i="19" s="1"/>
  <c r="C5" i="43" s="1"/>
  <c r="F30" i="50"/>
  <c r="E19" i="3" s="1"/>
  <c r="L16" i="3" s="1"/>
  <c r="D8" i="19"/>
  <c r="E8" i="19" s="1"/>
  <c r="C6" i="43" s="1"/>
  <c r="C7" i="41"/>
  <c r="D7" i="43" s="1"/>
  <c r="C8" i="43"/>
  <c r="I42" i="19"/>
  <c r="D9" i="19"/>
  <c r="E9" i="19" s="1"/>
  <c r="C7" i="43" s="1"/>
  <c r="D15" i="3"/>
  <c r="D27" i="50"/>
  <c r="F27" i="50" s="1"/>
  <c r="E23" i="44"/>
  <c r="F23" i="44" s="1"/>
  <c r="E5" i="43"/>
  <c r="F36" i="50"/>
  <c r="I52" i="19"/>
  <c r="D12" i="19" s="1"/>
  <c r="I55" i="19"/>
  <c r="F36" i="43"/>
  <c r="D31" i="3" s="1"/>
  <c r="I57" i="19"/>
  <c r="F37" i="43"/>
  <c r="D32" i="3" s="1"/>
  <c r="H58" i="19"/>
  <c r="E11" i="19"/>
  <c r="C34" i="41"/>
  <c r="D33" i="41"/>
  <c r="H35" i="41"/>
  <c r="I34" i="41"/>
  <c r="K15" i="3" l="1"/>
  <c r="M16" i="3"/>
  <c r="C10" i="44"/>
  <c r="F17" i="3"/>
  <c r="H26" i="44"/>
  <c r="D27" i="3"/>
  <c r="D37" i="50"/>
  <c r="F37" i="50" s="1"/>
  <c r="E27" i="3" s="1"/>
  <c r="E33" i="44"/>
  <c r="F33" i="44" s="1"/>
  <c r="H24" i="44"/>
  <c r="C10" i="50"/>
  <c r="C12" i="50"/>
  <c r="E15" i="3"/>
  <c r="L15" i="3" s="1"/>
  <c r="C9" i="50"/>
  <c r="F15" i="3"/>
  <c r="M15" i="3" s="1"/>
  <c r="C9" i="44"/>
  <c r="H23" i="44"/>
  <c r="E25" i="43"/>
  <c r="F25" i="43" s="1"/>
  <c r="E22" i="43"/>
  <c r="F22" i="43" s="1"/>
  <c r="E24" i="43"/>
  <c r="F24" i="43" s="1"/>
  <c r="E23" i="43"/>
  <c r="F23" i="43" s="1"/>
  <c r="I58" i="19"/>
  <c r="D43" i="50"/>
  <c r="F43" i="50" s="1"/>
  <c r="E32" i="3" s="1"/>
  <c r="E40" i="44"/>
  <c r="F40" i="44" s="1"/>
  <c r="F32" i="3" s="1"/>
  <c r="D41" i="50"/>
  <c r="F41" i="50" s="1"/>
  <c r="E31" i="3" s="1"/>
  <c r="E37" i="44"/>
  <c r="F37" i="44" s="1"/>
  <c r="F31" i="3" s="1"/>
  <c r="D41" i="43"/>
  <c r="E12" i="19"/>
  <c r="C10" i="43" s="1"/>
  <c r="C9" i="43"/>
  <c r="I35" i="41"/>
  <c r="H36" i="41"/>
  <c r="C35" i="41"/>
  <c r="D34" i="41"/>
  <c r="F27" i="3" l="1"/>
  <c r="H33" i="44"/>
  <c r="D24" i="3"/>
  <c r="D35" i="50"/>
  <c r="F35" i="50" s="1"/>
  <c r="E31" i="44"/>
  <c r="F28" i="43"/>
  <c r="E28" i="44"/>
  <c r="D21" i="3"/>
  <c r="D32" i="50"/>
  <c r="F32" i="50" s="1"/>
  <c r="E7" i="43"/>
  <c r="D22" i="3"/>
  <c r="D33" i="50"/>
  <c r="F33" i="50" s="1"/>
  <c r="E29" i="44"/>
  <c r="D23" i="3"/>
  <c r="D34" i="50"/>
  <c r="F34" i="50" s="1"/>
  <c r="E30" i="44"/>
  <c r="H37" i="44"/>
  <c r="H40" i="44"/>
  <c r="I36" i="41"/>
  <c r="H37" i="41"/>
  <c r="D35" i="41"/>
  <c r="C36" i="41"/>
  <c r="K17" i="3" l="1"/>
  <c r="E24" i="3"/>
  <c r="E21" i="3"/>
  <c r="L17" i="3" s="1"/>
  <c r="C11" i="50"/>
  <c r="E22" i="3"/>
  <c r="E23" i="3"/>
  <c r="C37" i="41"/>
  <c r="D36" i="41"/>
  <c r="I37" i="41"/>
  <c r="H38" i="41"/>
  <c r="H39" i="41" l="1"/>
  <c r="I38" i="41"/>
  <c r="C38" i="41"/>
  <c r="D37" i="41"/>
  <c r="D38" i="41" l="1"/>
  <c r="C39" i="41"/>
  <c r="H40" i="41"/>
  <c r="I39" i="41"/>
  <c r="H41" i="41" l="1"/>
  <c r="I40" i="41"/>
  <c r="D39" i="41"/>
  <c r="C40" i="41"/>
  <c r="I41" i="41" l="1"/>
  <c r="H42" i="41"/>
  <c r="C41" i="41"/>
  <c r="D40" i="41"/>
  <c r="D41" i="41" l="1"/>
  <c r="C42" i="41"/>
  <c r="I42" i="41"/>
  <c r="H43" i="41"/>
  <c r="H44" i="41" l="1"/>
  <c r="I43" i="41"/>
  <c r="C43" i="41"/>
  <c r="D42" i="41"/>
  <c r="C44" i="41" l="1"/>
  <c r="D43" i="41"/>
  <c r="I44" i="41"/>
  <c r="H45" i="41"/>
  <c r="C45" i="41" l="1"/>
  <c r="D44" i="41"/>
  <c r="I45" i="41"/>
  <c r="H46" i="41"/>
  <c r="H47" i="41" l="1"/>
  <c r="I46" i="41"/>
  <c r="D45" i="41"/>
  <c r="C46" i="41"/>
  <c r="C47" i="41" l="1"/>
  <c r="D46" i="41"/>
  <c r="H48" i="41"/>
  <c r="I47" i="41"/>
  <c r="H49" i="41" l="1"/>
  <c r="I48" i="41"/>
  <c r="D47" i="41"/>
  <c r="C48" i="41"/>
  <c r="H50" i="41" l="1"/>
  <c r="I49" i="41"/>
  <c r="C49" i="41"/>
  <c r="D48" i="41"/>
  <c r="C50" i="41" l="1"/>
  <c r="D49" i="41"/>
  <c r="H51" i="41"/>
  <c r="I50" i="41"/>
  <c r="D50" i="41" l="1"/>
  <c r="C51" i="41"/>
  <c r="I51" i="41"/>
  <c r="H52" i="41"/>
  <c r="I52" i="41" l="1"/>
  <c r="H53" i="41"/>
  <c r="C52" i="41"/>
  <c r="D51" i="41"/>
  <c r="I53" i="41" l="1"/>
  <c r="H54" i="41"/>
  <c r="C53" i="41"/>
  <c r="D52" i="41"/>
  <c r="D53" i="41" l="1"/>
  <c r="C54" i="41"/>
  <c r="H55" i="41"/>
  <c r="I54" i="41"/>
  <c r="H56" i="41" l="1"/>
  <c r="I55" i="41"/>
  <c r="C55" i="41"/>
  <c r="D54" i="41"/>
  <c r="D55" i="41" l="1"/>
  <c r="C56" i="41"/>
  <c r="I56" i="41"/>
  <c r="H57" i="41"/>
  <c r="H58" i="41" l="1"/>
  <c r="I57" i="41"/>
  <c r="D25" i="41" s="1"/>
  <c r="C10" i="41" s="1"/>
  <c r="D10" i="43" s="1"/>
  <c r="C57" i="41"/>
  <c r="D56" i="41"/>
  <c r="I58" i="41" l="1"/>
  <c r="H59" i="41"/>
  <c r="C58" i="41"/>
  <c r="D57" i="41"/>
  <c r="E40" i="43"/>
  <c r="F40" i="43" s="1"/>
  <c r="D35" i="3" s="1"/>
  <c r="E35" i="43"/>
  <c r="F35" i="43" s="1"/>
  <c r="D30" i="3" s="1"/>
  <c r="K20" i="3" s="1"/>
  <c r="E38" i="43"/>
  <c r="F38" i="43" s="1"/>
  <c r="D33" i="3" s="1"/>
  <c r="E39" i="43"/>
  <c r="F39" i="43" s="1"/>
  <c r="D34" i="3" s="1"/>
  <c r="D45" i="50" l="1"/>
  <c r="F45" i="50" s="1"/>
  <c r="E34" i="3" s="1"/>
  <c r="E41" i="44"/>
  <c r="F41" i="44" s="1"/>
  <c r="F34" i="3" s="1"/>
  <c r="D42" i="50"/>
  <c r="F42" i="50" s="1"/>
  <c r="E35" i="3" s="1"/>
  <c r="E38" i="44"/>
  <c r="F38" i="44" s="1"/>
  <c r="F35" i="3" s="1"/>
  <c r="E39" i="44"/>
  <c r="F39" i="44" s="1"/>
  <c r="F33" i="3" s="1"/>
  <c r="D44" i="50"/>
  <c r="F44" i="50" s="1"/>
  <c r="E33" i="3" s="1"/>
  <c r="I59" i="41"/>
  <c r="H60" i="41"/>
  <c r="E10" i="43"/>
  <c r="E36" i="44"/>
  <c r="F36" i="44" s="1"/>
  <c r="F30" i="3" s="1"/>
  <c r="M20" i="3" s="1"/>
  <c r="D40" i="50"/>
  <c r="F40" i="50" s="1"/>
  <c r="E30" i="3" s="1"/>
  <c r="L20" i="3" s="1"/>
  <c r="C59" i="41"/>
  <c r="D58" i="41"/>
  <c r="D59" i="41" l="1"/>
  <c r="C60" i="41"/>
  <c r="H39" i="44"/>
  <c r="C14" i="44"/>
  <c r="H36" i="44"/>
  <c r="C14" i="50"/>
  <c r="H61" i="41"/>
  <c r="I60" i="41"/>
  <c r="H41" i="44"/>
  <c r="I61" i="41" l="1"/>
  <c r="H62" i="41"/>
  <c r="C61" i="41"/>
  <c r="D60" i="41"/>
  <c r="C62" i="41" l="1"/>
  <c r="D61" i="41"/>
  <c r="H63" i="41"/>
  <c r="I62" i="41"/>
  <c r="I63" i="41" l="1"/>
  <c r="H64" i="41"/>
  <c r="C63" i="41"/>
  <c r="D62" i="41"/>
  <c r="D63" i="41" l="1"/>
  <c r="C64" i="41"/>
  <c r="I64" i="41"/>
  <c r="H65" i="41"/>
  <c r="D64" i="41" l="1"/>
  <c r="C65" i="41"/>
  <c r="I65" i="41"/>
  <c r="H66" i="41"/>
  <c r="H67" i="41" l="1"/>
  <c r="I66" i="41"/>
  <c r="D65" i="41"/>
  <c r="C66" i="41"/>
  <c r="C67" i="41" l="1"/>
  <c r="D66" i="41"/>
  <c r="H68" i="41"/>
  <c r="I67" i="41"/>
  <c r="I68" i="41" l="1"/>
  <c r="H69" i="41"/>
  <c r="D67" i="41"/>
  <c r="C68" i="41"/>
  <c r="C69" i="41" l="1"/>
  <c r="D68" i="41"/>
  <c r="I69" i="41"/>
  <c r="H70" i="41"/>
  <c r="H71" i="41" l="1"/>
  <c r="I70" i="41"/>
  <c r="D69" i="41"/>
  <c r="C70" i="41"/>
  <c r="C71" i="41" l="1"/>
  <c r="D70" i="41"/>
  <c r="H72" i="41"/>
  <c r="I71" i="41"/>
  <c r="H73" i="41" l="1"/>
  <c r="I72" i="41"/>
  <c r="D71" i="41"/>
  <c r="C72" i="41"/>
  <c r="I73" i="41" l="1"/>
  <c r="H74" i="41"/>
  <c r="D72" i="41"/>
  <c r="C73" i="41"/>
  <c r="C74" i="41" l="1"/>
  <c r="D73" i="41"/>
  <c r="H75" i="41"/>
  <c r="I74" i="41"/>
  <c r="D74" i="41" l="1"/>
  <c r="C75" i="41"/>
  <c r="I75" i="41"/>
  <c r="H76" i="41"/>
  <c r="D75" i="41" l="1"/>
  <c r="C76" i="41"/>
  <c r="I76" i="41"/>
  <c r="H77" i="41"/>
  <c r="H78" i="41" l="1"/>
  <c r="I77" i="41"/>
  <c r="D76" i="41"/>
  <c r="C77" i="41"/>
  <c r="D77" i="41" l="1"/>
  <c r="C78" i="41"/>
  <c r="H79" i="41"/>
  <c r="I78" i="41"/>
  <c r="H80" i="41" l="1"/>
  <c r="I79" i="41"/>
  <c r="C79" i="41"/>
  <c r="D78" i="41"/>
  <c r="D79" i="41" l="1"/>
  <c r="D21" i="41" s="1"/>
  <c r="C9" i="41" s="1"/>
  <c r="D9" i="43" s="1"/>
  <c r="C80" i="41"/>
  <c r="H81" i="41"/>
  <c r="I80" i="41"/>
  <c r="I81" i="41" l="1"/>
  <c r="H82" i="41"/>
  <c r="D80" i="41"/>
  <c r="C81" i="41"/>
  <c r="E33" i="43"/>
  <c r="F33" i="43" s="1"/>
  <c r="D28" i="3" s="1"/>
  <c r="E34" i="43"/>
  <c r="F34" i="43" s="1"/>
  <c r="D29" i="3" s="1"/>
  <c r="D36" i="3" l="1"/>
  <c r="K19" i="3"/>
  <c r="D39" i="50"/>
  <c r="F39" i="50" s="1"/>
  <c r="E29" i="3" s="1"/>
  <c r="E35" i="44"/>
  <c r="F35" i="44" s="1"/>
  <c r="F29" i="3" s="1"/>
  <c r="E34" i="44"/>
  <c r="D38" i="50"/>
  <c r="F41" i="43"/>
  <c r="E9" i="43"/>
  <c r="H83" i="41"/>
  <c r="I83" i="41" s="1"/>
  <c r="I82" i="41"/>
  <c r="D81" i="41"/>
  <c r="C82" i="41"/>
  <c r="F38" i="50" l="1"/>
  <c r="E28" i="3" s="1"/>
  <c r="D46" i="50"/>
  <c r="F34" i="44"/>
  <c r="F28" i="3" s="1"/>
  <c r="E42" i="44"/>
  <c r="D5" i="3"/>
  <c r="C83" i="41"/>
  <c r="D83" i="41" s="1"/>
  <c r="D82" i="41"/>
  <c r="H35" i="44"/>
  <c r="E36" i="3" l="1"/>
  <c r="L19" i="3"/>
  <c r="F36" i="3"/>
  <c r="F5" i="3" s="1"/>
  <c r="M19" i="3"/>
  <c r="H34" i="44"/>
  <c r="H42" i="44" s="1"/>
  <c r="F42" i="44"/>
  <c r="C13" i="44"/>
  <c r="C15" i="44" s="1"/>
  <c r="C4" i="44" s="1"/>
  <c r="C13" i="50"/>
  <c r="C15" i="50" s="1"/>
  <c r="C4" i="50" s="1"/>
  <c r="F46" i="50"/>
  <c r="E5" i="3" l="1"/>
  <c r="M21" i="3" l="1"/>
  <c r="L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tc={E3DF918A-81B1-4C6C-9564-1657870144F1}</author>
    <author>tc={CDE2C136-36B3-4463-8804-F730BF564BC8}</author>
  </authors>
  <commentList>
    <comment ref="H20" authorId="0" shapeId="0" xr:uid="{E3DF918A-81B1-4C6C-9564-1657870144F1}">
      <text>
        <t>[Threaded comment]
Your version of Excel allows you to read this threaded comment; however, any edits to it will get removed if the file is opened in a newer version of Excel. Learn more: https://go.microsoft.com/fwlink/?linkid=870924
Comment:
    The paper costs are sourced from uses the official poverty line in the US, which they acknowledge may be an overestimate of the costs. To remedy this, the paper recommends using the Supplemental Poverty Measure, a different estimate ~20% lower than that used in the paper</t>
      </text>
    </comment>
    <comment ref="H39" authorId="1" shapeId="0" xr:uid="{CDE2C136-36B3-4463-8804-F730BF564BC8}">
      <text>
        <t>[Threaded comment]
Your version of Excel allows you to read this threaded comment; however, any edits to it will get removed if the file is opened in a newer version of Excel. Learn more: https://go.microsoft.com/fwlink/?linkid=870924
Comment:
    The paper costs are sourced from uses the official poverty line in the US, which they acknowledge may be an overestimate of the costs. To remedy this, the paper recommends using the Supplemental Poverty Measure, a different estimate ~20% lower than that used in the paper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tc={9D4257D8-8E61-467C-AD66-5C8B2F7B3DEC}</author>
  </authors>
  <commentList>
    <comment ref="E6" authorId="0" shapeId="0" xr:uid="{9D4257D8-8E61-467C-AD66-5C8B2F7B3DEC}">
      <text>
        <t>[Threaded comment]
Your version of Excel allows you to read this threaded comment; however, any edits to it will get removed if the file is opened in a newer version of Excel. Learn more: https://go.microsoft.com/fwlink/?linkid=870924
Comment:
    Average from surveys from 2009 through 2018</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tc={05392F6F-1792-4624-A130-23B1FFDECD28}</author>
    <author>tc={278F5B7F-201F-48EF-B7A1-38C2E9DA9418}</author>
    <author>tc={359E90B5-EC44-4011-8EF1-5E9353639218}</author>
  </authors>
  <commentList>
    <comment ref="C24" authorId="0" shapeId="0" xr:uid="{05392F6F-1792-4624-A130-23B1FFDECD28}">
      <text>
        <t>[Threaded comment]
Your version of Excel allows you to read this threaded comment; however, any edits to it will get removed if the file is opened in a newer version of Excel. Learn more: https://go.microsoft.com/fwlink/?linkid=870924
Comment:
    Assumption based on eating red meat occassionally on Mediterranean diet</t>
      </text>
    </comment>
    <comment ref="C26" authorId="1" shapeId="0" xr:uid="{278F5B7F-201F-48EF-B7A1-38C2E9DA9418}">
      <text>
        <t>[Threaded comment]
Your version of Excel allows you to read this threaded comment; however, any edits to it will get removed if the file is opened in a newer version of Excel. Learn more: https://go.microsoft.com/fwlink/?linkid=870924
Comment:
    Assumption based on eating red meat occassionally on Mediterranean diet</t>
      </text>
    </comment>
    <comment ref="C28" authorId="2" shapeId="0" xr:uid="{359E90B5-EC44-4011-8EF1-5E9353639218}">
      <text>
        <t>[Threaded comment]
Your version of Excel allows you to read this threaded comment; however, any edits to it will get removed if the file is opened in a newer version of Excel. Learn more: https://go.microsoft.com/fwlink/?linkid=870924
Comment:
    Assumption based on eating red meat occassionally on Mediterranean diet</t>
      </text>
    </comment>
  </commentList>
</comments>
</file>

<file path=xl/sharedStrings.xml><?xml version="1.0" encoding="utf-8"?>
<sst xmlns="http://schemas.openxmlformats.org/spreadsheetml/2006/main" count="1824" uniqueCount="722">
  <si>
    <t>Soil erosion</t>
  </si>
  <si>
    <t>Biodiversity</t>
  </si>
  <si>
    <t>Land use</t>
  </si>
  <si>
    <t>Livelihoods</t>
  </si>
  <si>
    <t>Economy</t>
  </si>
  <si>
    <t>Human health</t>
  </si>
  <si>
    <t>Food insecurity</t>
  </si>
  <si>
    <t>Metric</t>
  </si>
  <si>
    <t>Impact area</t>
  </si>
  <si>
    <t>Participation rates</t>
  </si>
  <si>
    <t>Academic performance</t>
  </si>
  <si>
    <t>Future earning potential</t>
  </si>
  <si>
    <t>Environment</t>
  </si>
  <si>
    <t>Source</t>
  </si>
  <si>
    <t>Link</t>
  </si>
  <si>
    <t xml:space="preserve"> </t>
  </si>
  <si>
    <t>bn USD</t>
  </si>
  <si>
    <t>GHG emissions</t>
  </si>
  <si>
    <t>Water use / water depletion</t>
  </si>
  <si>
    <t>Soil, air, and water pollution</t>
  </si>
  <si>
    <t>Underpayment</t>
  </si>
  <si>
    <t xml:space="preserve">Lack of benefits </t>
  </si>
  <si>
    <t>Occupational health / safety</t>
  </si>
  <si>
    <t>Agricultural subsidies</t>
  </si>
  <si>
    <t>Health impacts from pollution</t>
  </si>
  <si>
    <t>Delta</t>
  </si>
  <si>
    <t>% of expenditure</t>
  </si>
  <si>
    <t>Additional lever cost</t>
  </si>
  <si>
    <t>% food expenditure</t>
  </si>
  <si>
    <t>Area</t>
  </si>
  <si>
    <t>Reasoning</t>
  </si>
  <si>
    <t>Difference</t>
  </si>
  <si>
    <t>Baseline cost (derived from national costs)</t>
  </si>
  <si>
    <t>No difference assumed</t>
  </si>
  <si>
    <t>School meal costs (adapted %)</t>
  </si>
  <si>
    <t>Program expenditure</t>
  </si>
  <si>
    <t>TCOF metrics</t>
  </si>
  <si>
    <t>Cropland use</t>
  </si>
  <si>
    <t>Grazing land use</t>
  </si>
  <si>
    <t>Biodiversity loss</t>
  </si>
  <si>
    <t>Eutrophication</t>
  </si>
  <si>
    <t>Current diet</t>
  </si>
  <si>
    <t>Unit</t>
  </si>
  <si>
    <t>Water use</t>
  </si>
  <si>
    <t xml:space="preserve">Source: </t>
  </si>
  <si>
    <t>https://planetbaseddiets.panda.org/impacts-action-calculator/usa</t>
  </si>
  <si>
    <t>Mt CO2eq</t>
  </si>
  <si>
    <t>km3</t>
  </si>
  <si>
    <t>000 ha</t>
  </si>
  <si>
    <t>sp.yr</t>
  </si>
  <si>
    <t>000 t PO43-eq</t>
  </si>
  <si>
    <t>National guidelines</t>
  </si>
  <si>
    <t>Difference between env/bio impacts from current diet and NDG diet (USA) according to WWF</t>
  </si>
  <si>
    <t>MSA</t>
  </si>
  <si>
    <t>000 $</t>
  </si>
  <si>
    <t>MF (/MSAhayr)</t>
  </si>
  <si>
    <t>USD</t>
  </si>
  <si>
    <t>bn $</t>
  </si>
  <si>
    <t>Addition of cropland and grazing land use</t>
  </si>
  <si>
    <t>USD/meal</t>
  </si>
  <si>
    <t>https://www.fns.usda.gov/pressrelease/2014/009814</t>
  </si>
  <si>
    <t>billion over 5 years</t>
  </si>
  <si>
    <t>https://changelabsolutions.org/sites/default/files/documents/Cost_Fact_Sheet.pdf</t>
  </si>
  <si>
    <t>Underlying change</t>
  </si>
  <si>
    <t>In line with soil, air, water pollution</t>
  </si>
  <si>
    <t>No change assumed for driver</t>
  </si>
  <si>
    <t>billion meals</t>
  </si>
  <si>
    <t>billion USD</t>
  </si>
  <si>
    <t>Category</t>
  </si>
  <si>
    <t>Value</t>
  </si>
  <si>
    <t>Number of meals (lunch)</t>
  </si>
  <si>
    <t>Number of meals (breakfast)</t>
  </si>
  <si>
    <t>Total</t>
  </si>
  <si>
    <t>Comment</t>
  </si>
  <si>
    <t>End-of-year acadamic test score increases by 40% for eligble students (in schools with healthy lunches)</t>
  </si>
  <si>
    <t>https://www.brookings.edu/blog/brown-center-chalkboard/2017/05/03/how-the-quality-of-school-lunch-affects-students-academic-performance/</t>
  </si>
  <si>
    <t>Implementation cost v1</t>
  </si>
  <si>
    <t>Among those working at least 25 hours per week, an additional year of compulsory schooling is associated with a 10.7 percent increase in annual earnings</t>
  </si>
  <si>
    <t>https://www.brookings.edu/research/fourteen-economic-facts-on-education-and-economic-opportunity-2/</t>
  </si>
  <si>
    <t>Step</t>
  </si>
  <si>
    <t>NSLP average daily participation (mn)</t>
  </si>
  <si>
    <t>SBP average daily participation (mn)</t>
  </si>
  <si>
    <t>millions of meals</t>
  </si>
  <si>
    <t>https://schoolnutrition.org/aboutschoolmeals/schoolmealtrendsstats/</t>
  </si>
  <si>
    <t>https://educationdata.org/k12-enrollment-statistics#:~:text=In%202019%2C%20approximately%2056.6%20million,school%20in%20the%20United%20States.&amp;text=Among%20the%2050.8%20million%20students,3.7%20million%20were%20in%20kindergarten</t>
  </si>
  <si>
    <t xml:space="preserve">Assumptions: </t>
  </si>
  <si>
    <t>5.8 million private school students excluded</t>
  </si>
  <si>
    <t>Food group</t>
  </si>
  <si>
    <t>Fruits</t>
  </si>
  <si>
    <t>Roots and tubers</t>
  </si>
  <si>
    <t>Legumes, nuts, and seeds</t>
  </si>
  <si>
    <t>Red meat</t>
  </si>
  <si>
    <t>Fish</t>
  </si>
  <si>
    <t>Dairy</t>
  </si>
  <si>
    <t>Eggs</t>
  </si>
  <si>
    <t>Sugar</t>
  </si>
  <si>
    <t>Fruits and vegetables</t>
  </si>
  <si>
    <t>Poultry</t>
  </si>
  <si>
    <t>Total true cost</t>
  </si>
  <si>
    <t>Savings</t>
  </si>
  <si>
    <t>TCOF change for nutritional guidelines</t>
  </si>
  <si>
    <t>mn USD</t>
  </si>
  <si>
    <t>Benefits</t>
  </si>
  <si>
    <t>National expenditure</t>
  </si>
  <si>
    <t>School meal costs (same % as national)</t>
  </si>
  <si>
    <t>1. Define external costs connected to school meals assuming the same percentages of external costs caused as on the national level</t>
  </si>
  <si>
    <t>Current diet -&gt; NDG diet</t>
  </si>
  <si>
    <t>2. Adapt external costs from national level cost to program specific cost by applying difference between average American diet footprint and American diet according to National Dietary Guidelines</t>
  </si>
  <si>
    <t>Improvement cost</t>
  </si>
  <si>
    <t>billion USD/year</t>
  </si>
  <si>
    <t>Yearly cost - currently assumed 6 cent increase for breakfast as well</t>
  </si>
  <si>
    <t>Total cost per year</t>
  </si>
  <si>
    <t>Benefits (bn)</t>
  </si>
  <si>
    <t>Consumption metrics</t>
  </si>
  <si>
    <t>Production metrics</t>
  </si>
  <si>
    <t>Food system cost (bn USD)</t>
  </si>
  <si>
    <t>Consumption inputs</t>
  </si>
  <si>
    <t>Estimate</t>
  </si>
  <si>
    <t>https://jamanetwork.com/journals/jamanetworkopen/fullarticle/2778453</t>
  </si>
  <si>
    <t>Percent of adult diet attributable to childhood diet</t>
  </si>
  <si>
    <t>Percentage of energy intake from schools for children age 5 to 19</t>
  </si>
  <si>
    <t>Overall</t>
  </si>
  <si>
    <t>1. Production metrics based on the proportion of each metric among system-wide expenditure cost as applied to the value of food procured from school meals</t>
  </si>
  <si>
    <t>School meal costs</t>
  </si>
  <si>
    <t>School meal food expenditure</t>
  </si>
  <si>
    <t>Program baseline summary</t>
  </si>
  <si>
    <t>% of total expenditure</t>
  </si>
  <si>
    <t>2. Instead of using a proportion of costs, school meal estimates are based on adult diet DALYs attributable to school meals based on percentage of calories school meals represent during childhood and the connection to adult dietary habits</t>
  </si>
  <si>
    <t>Savings from dietary shift</t>
  </si>
  <si>
    <t>Assumed same as GHG emissions. Soil, air, and water pollution was not used since eutrophication (e.g., water pollution) was the proxy</t>
  </si>
  <si>
    <t>1. Consumption metrics differ from production metrics in that production metrics quantify the true impact of current production. The impacts from consuming school meals are on future diet / health (e.g., as an adult) and therefore a different methodology was used</t>
  </si>
  <si>
    <t>Long term earning potential</t>
  </si>
  <si>
    <t>Impact area summary of benefits</t>
  </si>
  <si>
    <t>Savings from baseline (bn)</t>
  </si>
  <si>
    <t>Current diet to NDG</t>
  </si>
  <si>
    <t>Current to NDG</t>
  </si>
  <si>
    <t>Whole grains</t>
  </si>
  <si>
    <t>Implementation costs for nutritional guidelines (based on HHFKA implementation)</t>
  </si>
  <si>
    <t>Baseline benefit</t>
  </si>
  <si>
    <t>Expansion of baseline benefits</t>
  </si>
  <si>
    <t>Expansion logic summary</t>
  </si>
  <si>
    <t>Expansion percentage of current benefits</t>
  </si>
  <si>
    <t>Expansion impact from current benefits</t>
  </si>
  <si>
    <t>Grains</t>
  </si>
  <si>
    <t>True cost if school meals did not exist in current form</t>
  </si>
  <si>
    <t>True cost of school meal program</t>
  </si>
  <si>
    <t>Difference (true value)</t>
  </si>
  <si>
    <t>http://ftp.iza.org/dp11234.pdf</t>
  </si>
  <si>
    <t>US net income per capita</t>
  </si>
  <si>
    <t>Percent increase in adult earnings for every year a student had access to free, nutritious school meals</t>
  </si>
  <si>
    <t>Annual increase in income from school meals per student</t>
  </si>
  <si>
    <t>Daily participation in NSLP</t>
  </si>
  <si>
    <t>Calculation</t>
  </si>
  <si>
    <t>N/A</t>
  </si>
  <si>
    <t>Additional cost per meal - includes labor</t>
  </si>
  <si>
    <t>Additional grants from USDA</t>
  </si>
  <si>
    <t>billion</t>
  </si>
  <si>
    <t>Smarter lunchrooms</t>
  </si>
  <si>
    <t>million</t>
  </si>
  <si>
    <t>Schools purchase kitchen equipment</t>
  </si>
  <si>
    <t>Training and technical assistance</t>
  </si>
  <si>
    <t xml:space="preserve">Costs for schools </t>
  </si>
  <si>
    <t>Jeremy West</t>
  </si>
  <si>
    <t>Repairs</t>
  </si>
  <si>
    <t>Training of staff (culinary)</t>
  </si>
  <si>
    <t>Additional costs not accounted for</t>
  </si>
  <si>
    <t>Total school meals</t>
  </si>
  <si>
    <t>Total number of school districts</t>
  </si>
  <si>
    <t>https://www.guide2research.com/research/american-school-statistics#:~:text=In%20the%20U.S.%2C%20school%20districts,home%20to%2016%2C800%20school%20districts.</t>
  </si>
  <si>
    <t>Increased food costs</t>
  </si>
  <si>
    <t>Additional costs (potentially yearly) subsidized by USDA</t>
  </si>
  <si>
    <t>Additional support / subsidies from USDA</t>
  </si>
  <si>
    <t>Additional costs (potentially yearly) for schools</t>
  </si>
  <si>
    <t>Additional costs for school districts if maximal training / improvements are done</t>
  </si>
  <si>
    <t>Food</t>
  </si>
  <si>
    <t>Labor / benefits</t>
  </si>
  <si>
    <t>Other direct costs</t>
  </si>
  <si>
    <t>Indirect costs</t>
  </si>
  <si>
    <t>Other</t>
  </si>
  <si>
    <t>Intervention cost summary</t>
  </si>
  <si>
    <t>Impact area summary of additional benefits</t>
  </si>
  <si>
    <t>Annual cost of childhood poverty</t>
  </si>
  <si>
    <t>Childhood poverty alleviation</t>
  </si>
  <si>
    <t>https://source.wustl.edu/2018/04/childhood-poverty-cost-u-s-1-03-trillion-in-a-year-study-finds/</t>
  </si>
  <si>
    <t>Number of poor children in US</t>
  </si>
  <si>
    <t>Annual cost per child</t>
  </si>
  <si>
    <t>https://econofact.org/child-poverty-in-the-u-s#:~:text=The%20Facts%3A,the%20official%20U.S%20poverty%20rate.</t>
  </si>
  <si>
    <t>Food insecure children in the US</t>
  </si>
  <si>
    <t>People living in food insecure households in the US</t>
  </si>
  <si>
    <t>https://frac.org/hunger-poverty-america#:~:text=More%20than%2035%20million%20Americans,the%20U.S.%20experience%20food%20insecurity.</t>
  </si>
  <si>
    <t>https://www.feedingamerica.org/sites/default/files/research/map-the-meal-gap/2016/2016-map-the-meal-gap-child-food-insecurity.pdf</t>
  </si>
  <si>
    <t>Percentage of food insecure people that are children</t>
  </si>
  <si>
    <t>Assumption</t>
  </si>
  <si>
    <t>Calories from school meals as a percentage of daily calories on a school day</t>
  </si>
  <si>
    <t>School meals days out of a year</t>
  </si>
  <si>
    <t>Product of annual cost of poverty per child and number of people lifted out of poverty through school meals</t>
  </si>
  <si>
    <t>AHA dietary score for children 5-19 from schools</t>
  </si>
  <si>
    <t>HEI dietary score for children 5-19 from grocery stores (alternate)</t>
  </si>
  <si>
    <t>Percentage difference (alternate)</t>
  </si>
  <si>
    <t>Increased particiption from healthier meals</t>
  </si>
  <si>
    <t>HEI dietary score for children 5-19 from schools (alternate)</t>
  </si>
  <si>
    <t>Children &lt; 18 lifted out of poverty attributable to school lunches</t>
  </si>
  <si>
    <t>https://www.census.gov/content/dam/Census/library/publications/2018/demo/p60-265.pdf</t>
  </si>
  <si>
    <t>Difference between school meals and nutritional guidelines</t>
  </si>
  <si>
    <t>Diet</t>
  </si>
  <si>
    <t>AHA diet score</t>
  </si>
  <si>
    <t xml:space="preserve">Liu et al </t>
  </si>
  <si>
    <t>Percent difference</t>
  </si>
  <si>
    <t>Food in schools</t>
  </si>
  <si>
    <t>Percentage of food insecure families using NSLP</t>
  </si>
  <si>
    <t>Downstream impacts</t>
  </si>
  <si>
    <t>USDA</t>
  </si>
  <si>
    <t>https://www.ers.usda.gov/amber-waves/2017/august/usda-s-national-school-lunch-program-reduces-food-insecurity</t>
  </si>
  <si>
    <t>https://data.worldbank.org/indicator/NY.ADJ.NNTY.PC.CD</t>
  </si>
  <si>
    <t>Emissions along value chain (pre-consumption) (2018), mn t CO2e</t>
  </si>
  <si>
    <t>GWP100</t>
  </si>
  <si>
    <t>GWP20</t>
  </si>
  <si>
    <t>Mn t CO2e</t>
  </si>
  <si>
    <t>Production of nitrogen fertilizer</t>
  </si>
  <si>
    <t>Production of phosphoric acid</t>
  </si>
  <si>
    <t>Crop cultivation</t>
  </si>
  <si>
    <t>Livestock</t>
  </si>
  <si>
    <t>Land use and land use change</t>
  </si>
  <si>
    <t>Fuel combustion</t>
  </si>
  <si>
    <t>Electricity use</t>
  </si>
  <si>
    <t>Food processing</t>
  </si>
  <si>
    <t>Packaging</t>
  </si>
  <si>
    <t>Transport</t>
  </si>
  <si>
    <t>Retail</t>
  </si>
  <si>
    <t>Landfill emissions (food)</t>
  </si>
  <si>
    <t>Landfill emissions (plastics)</t>
  </si>
  <si>
    <t>US pre-consumption GHG emission costs (incl. landfill emissions)</t>
  </si>
  <si>
    <t>Production of nitrogen fertilizer (2018)</t>
  </si>
  <si>
    <t>ADDITIONAL INFORMATION</t>
  </si>
  <si>
    <t>Global Warming Potentials of key GHGs</t>
  </si>
  <si>
    <t>Tonnes</t>
  </si>
  <si>
    <t>National fertilizer production</t>
  </si>
  <si>
    <t>FAOSTAT (see raw data)</t>
  </si>
  <si>
    <t>Horizon</t>
  </si>
  <si>
    <t>Name</t>
  </si>
  <si>
    <t>SAR</t>
  </si>
  <si>
    <t>AR4</t>
  </si>
  <si>
    <t>AR5</t>
  </si>
  <si>
    <t>tCO2e/t</t>
  </si>
  <si>
    <t>GHG emissions/fertilizer production</t>
  </si>
  <si>
    <t>FOLU technical annex</t>
  </si>
  <si>
    <t>CO2</t>
  </si>
  <si>
    <t>Carbon dioxide</t>
  </si>
  <si>
    <t>CH4</t>
  </si>
  <si>
    <t>Methane</t>
  </si>
  <si>
    <t>N2O</t>
  </si>
  <si>
    <t>Nitrous oxide</t>
  </si>
  <si>
    <t>Phosphoric acid production (2018)</t>
  </si>
  <si>
    <t>Phosphoric acid production</t>
  </si>
  <si>
    <t>https://www.epa.gov/sites/production/files/2020-04/documents/us-ghg-inventory-2020-main-text.pdf</t>
  </si>
  <si>
    <t>%</t>
  </si>
  <si>
    <t>Amount used for fertilizer production</t>
  </si>
  <si>
    <t>Sources</t>
  </si>
  <si>
    <t>General:</t>
  </si>
  <si>
    <t>https://www.ghgprotocol.org/sites/default/files/ghgp/Global-Warming-Potential-Values%20%28Feb%2016%202016%29_1.pdf</t>
  </si>
  <si>
    <t>Crop cultivation emissions (2018)</t>
  </si>
  <si>
    <t>kt</t>
  </si>
  <si>
    <t xml:space="preserve">SAR: </t>
  </si>
  <si>
    <t>https://www.ipcc.ch/site/assets/uploads/2018/02/ipcc_sar_wg_I_full_report.pdf</t>
  </si>
  <si>
    <t>Gas</t>
  </si>
  <si>
    <t xml:space="preserve">AR4: </t>
  </si>
  <si>
    <t>https://www.ipcc.ch/site/assets/uploads/2018/05/ar4-wg1-errata.pdf</t>
  </si>
  <si>
    <t>Urea fertilization</t>
  </si>
  <si>
    <t xml:space="preserve">AR5: </t>
  </si>
  <si>
    <t>http://www.climatechange2013.org/images/report/WG1AR5_Chapter08_FINAL.pdf</t>
  </si>
  <si>
    <t>Liming</t>
  </si>
  <si>
    <t>Rice cultivation</t>
  </si>
  <si>
    <t>AR4 Conversion factors</t>
  </si>
  <si>
    <t>Field burning of agricultural residues</t>
  </si>
  <si>
    <t>Livestock emissions (2018)</t>
  </si>
  <si>
    <t>Manure management</t>
  </si>
  <si>
    <t>Land use and land-use change (2018)</t>
  </si>
  <si>
    <t>Cropland remaining cropland</t>
  </si>
  <si>
    <t>Land converted to cropland</t>
  </si>
  <si>
    <t>Grassland remaining grassland</t>
  </si>
  <si>
    <t>Land converted to grassland</t>
  </si>
  <si>
    <t>Ag-related fuel combustion (2018)</t>
  </si>
  <si>
    <t>Ag fuel combustion emissions</t>
  </si>
  <si>
    <t>https://cfpub.epa.gov/ghgdata/inventoryexplorer/#agriculture/allgas/source/all</t>
  </si>
  <si>
    <t>Electricity use in agriculture (2018)</t>
  </si>
  <si>
    <t>Ag electricity use</t>
  </si>
  <si>
    <t>p. ES-26</t>
  </si>
  <si>
    <t>Landfill emissions (food) (2018)</t>
  </si>
  <si>
    <t>Landfills</t>
  </si>
  <si>
    <t>Share of food in landfills</t>
  </si>
  <si>
    <t>https://www.epa.gov/sustainable-management-food/sustainable-management-food-basics#:~:text=EPA%20estimated%20that%20in%202018,amount%20combusted%20with%20energy%20recovery.</t>
  </si>
  <si>
    <t>Landfill emissions (plastics) (2018)</t>
  </si>
  <si>
    <t>Plastics use USA</t>
  </si>
  <si>
    <t>Use per year</t>
  </si>
  <si>
    <t>million tons</t>
  </si>
  <si>
    <t>https://www.mckinsey.com/industries/chemicals/our-insights/accelerating-plastic-recovery-in-the-united-states</t>
  </si>
  <si>
    <t>Share of plastic in landfills</t>
  </si>
  <si>
    <t>https://www.epa.gov/facts-and-figures-about-materials-waste-and-recycling/plastics-material-specific-data#:~:text=In%202018%2C%20landfills%20received%2027,percent%20of%20all%20MSW%20landfilled.</t>
  </si>
  <si>
    <t xml:space="preserve">  </t>
  </si>
  <si>
    <t>Food-related use</t>
  </si>
  <si>
    <t>Food plastic share / overall plastic</t>
  </si>
  <si>
    <t>Share of total use</t>
  </si>
  <si>
    <t>USD bn</t>
  </si>
  <si>
    <t>For PPTX</t>
  </si>
  <si>
    <t>Plastics</t>
  </si>
  <si>
    <t>Rest</t>
  </si>
  <si>
    <t>Downstream VC</t>
  </si>
  <si>
    <t>True Price monetization factor (USD/t CO2e)</t>
  </si>
  <si>
    <t>Total cost related to packaging/plastics</t>
  </si>
  <si>
    <t>All other costs</t>
  </si>
  <si>
    <t>Total GHG costs</t>
  </si>
  <si>
    <t>Education Data</t>
  </si>
  <si>
    <t>Additional benefits to the local economy</t>
  </si>
  <si>
    <t>Total implementation cost</t>
  </si>
  <si>
    <t>Note</t>
  </si>
  <si>
    <t>students</t>
  </si>
  <si>
    <t>meals per day</t>
  </si>
  <si>
    <t>Calories per week</t>
  </si>
  <si>
    <t>Alcohol</t>
  </si>
  <si>
    <t>Discount factor logic</t>
  </si>
  <si>
    <t>Health</t>
  </si>
  <si>
    <t>Percent decrease</t>
  </si>
  <si>
    <t>Average age of school child</t>
  </si>
  <si>
    <t>Average age of school children age 5 to 18</t>
  </si>
  <si>
    <t>years old</t>
  </si>
  <si>
    <t>years to discount</t>
  </si>
  <si>
    <t>Year</t>
  </si>
  <si>
    <t>Constant discount rate</t>
  </si>
  <si>
    <t>Percentage of total remaining after discount</t>
  </si>
  <si>
    <t>Percent of total</t>
  </si>
  <si>
    <t>Product of the percent of adult diet attributable to childhood diet and the percent of energy intake children get from schools, with adjustment for school meals being healthier than general diet, discounted over time</t>
  </si>
  <si>
    <t>Percent of system costs attributable to school meals (incl discounting)</t>
  </si>
  <si>
    <t>Program baseline summary with discount factors applied</t>
  </si>
  <si>
    <t>Discount factor applied</t>
  </si>
  <si>
    <t>percent of total</t>
  </si>
  <si>
    <t>Percent of original estimate</t>
  </si>
  <si>
    <t>Baseline benefit without discount</t>
  </si>
  <si>
    <t>Discount applied</t>
  </si>
  <si>
    <t>Baseline benefit with discount</t>
  </si>
  <si>
    <t>Non-TCOF metrics (e.g., equity spotlight)</t>
  </si>
  <si>
    <t>Benefits from baseline (bn)</t>
  </si>
  <si>
    <t>Cup eq / day</t>
  </si>
  <si>
    <t>Calories per day</t>
  </si>
  <si>
    <t>Vegetables</t>
  </si>
  <si>
    <t>Based on 2000 calories per day</t>
  </si>
  <si>
    <t>Dietary Guidelines for Americans 2020 - 2025</t>
  </si>
  <si>
    <t>https://www.dietaryguidelines.gov/sites/default/files/2020-12/Dietary_Guidelines_for_Americans_2020-2025.pdf</t>
  </si>
  <si>
    <t>Protein foods</t>
  </si>
  <si>
    <t>Oils</t>
  </si>
  <si>
    <t>Limit on calories for other uses</t>
  </si>
  <si>
    <t>Ounce eq / day</t>
  </si>
  <si>
    <t>Grams / day</t>
  </si>
  <si>
    <t>kcal / day</t>
  </si>
  <si>
    <t>https://fdc.nal.usda.gov/</t>
  </si>
  <si>
    <t>Notes</t>
  </si>
  <si>
    <t>Based on apple slices</t>
  </si>
  <si>
    <t>Based on 'vegetable'</t>
  </si>
  <si>
    <t>Based on cereal</t>
  </si>
  <si>
    <t>Based on 1% fat milk</t>
  </si>
  <si>
    <t>Based on poultry</t>
  </si>
  <si>
    <t>Based on 'oil'</t>
  </si>
  <si>
    <t>Unit / day</t>
  </si>
  <si>
    <t>Calories per unit</t>
  </si>
  <si>
    <t>Calories already provided</t>
  </si>
  <si>
    <t>Vegetables breakdown (cups per week)</t>
  </si>
  <si>
    <t>Dark green vegetables</t>
  </si>
  <si>
    <t>Red and orange vegetables</t>
  </si>
  <si>
    <t>Beans, peas, lentils</t>
  </si>
  <si>
    <t>starchy vegetables</t>
  </si>
  <si>
    <t>Other vegetables</t>
  </si>
  <si>
    <t>Vegetable subgroup</t>
  </si>
  <si>
    <t>Grains breakdown (ounces per day)</t>
  </si>
  <si>
    <t>Grains subgroup</t>
  </si>
  <si>
    <t>Refined grains</t>
  </si>
  <si>
    <t>Protein foods breakdown (ounces per week)</t>
  </si>
  <si>
    <t>Protein subgroup</t>
  </si>
  <si>
    <t>Meat, poultry, eggs</t>
  </si>
  <si>
    <t>Seafood</t>
  </si>
  <si>
    <t>Nuts, seeds, soy products</t>
  </si>
  <si>
    <t>Ounce eq / week</t>
  </si>
  <si>
    <t>Based on spinach</t>
  </si>
  <si>
    <t>Cup eq / week</t>
  </si>
  <si>
    <t>Unit / week</t>
  </si>
  <si>
    <t>Based on carrots</t>
  </si>
  <si>
    <t>Based on peas</t>
  </si>
  <si>
    <t>Based on potatoes</t>
  </si>
  <si>
    <t>Based on multigrain bread</t>
  </si>
  <si>
    <t>Based on white bread</t>
  </si>
  <si>
    <t>Difference from above</t>
  </si>
  <si>
    <t>Based on roe</t>
  </si>
  <si>
    <t>Based on mixed nuts, oil roasted, with salt added</t>
  </si>
  <si>
    <t xml:space="preserve">Healthy Mediterranean-Style Dietary Pattern Breakdown </t>
  </si>
  <si>
    <t>Summary by food group</t>
  </si>
  <si>
    <t>WWF food component</t>
  </si>
  <si>
    <t>Grains (whole and refined)</t>
  </si>
  <si>
    <t>Fats and Oils</t>
  </si>
  <si>
    <t>Coffee, tea, cocoa and spices</t>
  </si>
  <si>
    <t>Not included</t>
  </si>
  <si>
    <t>Healthy Med Diet component</t>
  </si>
  <si>
    <t>Fruits, dark green vegetables, other vegetables</t>
  </si>
  <si>
    <t>Red and orange vegetables, starchy vegetables</t>
  </si>
  <si>
    <t>Beans / peas / lentils and nuts / seeds / soy products</t>
  </si>
  <si>
    <t>Within optimal calorie range per WWF?</t>
  </si>
  <si>
    <t>Yes</t>
  </si>
  <si>
    <t>No, slightly higher than 611 limit</t>
  </si>
  <si>
    <t>Limits on calories for other uses</t>
  </si>
  <si>
    <t>No, higher than 877 limit</t>
  </si>
  <si>
    <t>20% of meat, poultry, and eggs</t>
  </si>
  <si>
    <t>Based on beef steak, poultry is 77 calories, eggs are 41 calories</t>
  </si>
  <si>
    <t>No, higher than 254 limit</t>
  </si>
  <si>
    <t>60% of meat, poultry, and eggs</t>
  </si>
  <si>
    <t>No, higher than 863 limit</t>
  </si>
  <si>
    <t>Comparison to Current American Diet</t>
  </si>
  <si>
    <t>Comparison to National Dietary Guidelines</t>
  </si>
  <si>
    <t>Healthy Med Diet</t>
  </si>
  <si>
    <t>Because of fish</t>
  </si>
  <si>
    <t>Because of grains</t>
  </si>
  <si>
    <t>Current to Healthy Med Diet</t>
  </si>
  <si>
    <t>NDG to Healthy Med Diet</t>
  </si>
  <si>
    <t>Inputs to calculator based on 'Diet Comparison' tab</t>
  </si>
  <si>
    <t>NDG -&gt; Healthy Med Diet (GHG)</t>
  </si>
  <si>
    <t>NDG -&gt; Healthy Med Diet (water use)</t>
  </si>
  <si>
    <t>NDG -&gt; Healthy Med Diet (land use)</t>
  </si>
  <si>
    <t>NDG -&gt; Healthy Med Diet (eutrophication)</t>
  </si>
  <si>
    <t>Comparing Healthy Med Diet to AHA 2020 Strategic Impact Goals and Scoring Standards</t>
  </si>
  <si>
    <t>AHA Score Component</t>
  </si>
  <si>
    <t>Fish and shellfish</t>
  </si>
  <si>
    <t>Nuts, seeds, and legumes</t>
  </si>
  <si>
    <t>Processed meat</t>
  </si>
  <si>
    <t>Sodium</t>
  </si>
  <si>
    <t>Saturated fat</t>
  </si>
  <si>
    <t>AHA 2020 Strategic Impact Goals and Scoring Standards</t>
  </si>
  <si>
    <t>Unit per day</t>
  </si>
  <si>
    <t>Cup equiv / day</t>
  </si>
  <si>
    <t>AHA Score</t>
  </si>
  <si>
    <t xml:space="preserve">Out of </t>
  </si>
  <si>
    <t>Whole grains (not including refined grains)</t>
  </si>
  <si>
    <t>oz equiv / day</t>
  </si>
  <si>
    <t>Seafood (calculated from 15 oz / week)</t>
  </si>
  <si>
    <t>Sugar-sweetened beverages</t>
  </si>
  <si>
    <t>Total AHA Score for Healty Med Diet</t>
  </si>
  <si>
    <t>Percent of perfect score</t>
  </si>
  <si>
    <t>Fruits and vegetables (dark green veg, red and orange veg, starchy vegetables, other vegetables) (does not include peas, lentils, and soybeans)</t>
  </si>
  <si>
    <t>Assumed to follow guidelines</t>
  </si>
  <si>
    <t>Difference between school meals and healthy med diet</t>
  </si>
  <si>
    <t>https://jamanetwork.com/journals/jamanetworkopen/fullarticle/2752819#:~:text=The%20total%20healthy%20diet%20score,than%2056.9%20(Table%201).</t>
  </si>
  <si>
    <t>Healthy Mediterranean Diet from DGA</t>
  </si>
  <si>
    <t>L2Diet Compared to Current Diet, National Guidelines</t>
  </si>
  <si>
    <t>Specifics on the healthy mediterranean diet components on the 'L2 Diet Components' tab</t>
  </si>
  <si>
    <t>School meals -&gt; Healthy Med Diet in AHA score</t>
  </si>
  <si>
    <t>Benefits without discounts</t>
  </si>
  <si>
    <t>Benefits with discounts applied</t>
  </si>
  <si>
    <t>Baseline</t>
  </si>
  <si>
    <t>Total benefits</t>
  </si>
  <si>
    <t>Comparison point</t>
  </si>
  <si>
    <t>Counterfactual</t>
  </si>
  <si>
    <t>Overview of school meals deep dive quantification</t>
  </si>
  <si>
    <t>Baseline (bn USD)</t>
  </si>
  <si>
    <t>Benefits estimates</t>
  </si>
  <si>
    <t>True value estimates</t>
  </si>
  <si>
    <t>Cost Estimates</t>
  </si>
  <si>
    <t>Improving dietary composition to a healthy Mediterranean diet (bn USD)</t>
  </si>
  <si>
    <t>Average age of diabetes diagnosis</t>
  </si>
  <si>
    <t>American Diabetes Association</t>
  </si>
  <si>
    <t>https://care.diabetesjournals.org/content/24/9/1522</t>
  </si>
  <si>
    <t>Average age of employment</t>
  </si>
  <si>
    <t>Current diet -&gt; school meals</t>
  </si>
  <si>
    <t>Poverty alleviation attributable to school lunches</t>
  </si>
  <si>
    <t>Annual cost of childhood poverty from reduced earnings</t>
  </si>
  <si>
    <t>Annual cost of childhood poverty from increased victimization of street crime</t>
  </si>
  <si>
    <t>Annual cost of childhood poverty from increased health costs</t>
  </si>
  <si>
    <t>Annual cost of childhood poverty from increased child homelessness costs</t>
  </si>
  <si>
    <t>Annual cost of childhood poverty from child maltreatment costs</t>
  </si>
  <si>
    <t>Annual cost of childhood poverty from incarceration</t>
  </si>
  <si>
    <t>Annual cost of poverty per child</t>
  </si>
  <si>
    <t>Benefit of child poverty alleviation attributable to school lunches</t>
  </si>
  <si>
    <t>Percentage difference in participation rates</t>
  </si>
  <si>
    <t>Benefit of child poverty alleviation attributable to school breakfast</t>
  </si>
  <si>
    <t>Benefit of child poverty alleviation attributable to school meals</t>
  </si>
  <si>
    <t>Adult poverty alleviation</t>
  </si>
  <si>
    <t>Number of adults (18+) lifted out of poverty attributable to school lunches</t>
  </si>
  <si>
    <t>Health discount factor per year</t>
  </si>
  <si>
    <t>Years for discounting poverty alleviation impacts</t>
  </si>
  <si>
    <t>Poverty alleviation attributable to school meals</t>
  </si>
  <si>
    <t>Cost of childhood poverty</t>
  </si>
  <si>
    <t>Total cost (bn)</t>
  </si>
  <si>
    <t>Benefit of child poverty alleviation attributable to school lunches (bn)</t>
  </si>
  <si>
    <t>Benefit of poverty alleviation attributable to school meals</t>
  </si>
  <si>
    <t>Reduced earnings</t>
  </si>
  <si>
    <t>Victimization of street crime</t>
  </si>
  <si>
    <t>Increased child homelessness costs</t>
  </si>
  <si>
    <t>Incarceration</t>
  </si>
  <si>
    <t>Child maltreatment costs</t>
  </si>
  <si>
    <t>Poverty alleviation metric summary</t>
  </si>
  <si>
    <t>Poverty alleviation attributable to school breakfast</t>
  </si>
  <si>
    <t>Downstream impact discount factor per year</t>
  </si>
  <si>
    <t>Health yearly discount logic</t>
  </si>
  <si>
    <t>Downstream impacts yearly discount logic</t>
  </si>
  <si>
    <t>Number of adults living below the poverty line</t>
  </si>
  <si>
    <t>Percentage difference in participation rates between SBP and NSLP</t>
  </si>
  <si>
    <t>Adults alleviated from poverty from SBP</t>
  </si>
  <si>
    <t>Total adults alleviated from school meals</t>
  </si>
  <si>
    <t>Percent of adults alleviated</t>
  </si>
  <si>
    <t>Cost of food insecurity from main report (bn)</t>
  </si>
  <si>
    <t>Benefit of adult poverty alleviation attributable to school meals</t>
  </si>
  <si>
    <t>Benefit with discount</t>
  </si>
  <si>
    <t>Impact area / metric</t>
  </si>
  <si>
    <t>Number of students eligible for free or reduced price lunch</t>
  </si>
  <si>
    <t>https://nces.ed.gov/programs/digest/d20/tables/dt20_204.10.asp</t>
  </si>
  <si>
    <t>NSLP average daily participation</t>
  </si>
  <si>
    <t>Percent of lunches provided at free or reduced price</t>
  </si>
  <si>
    <t>Number of lunches provided at free or reduced price</t>
  </si>
  <si>
    <t>Meals required per day to serve each free / reduced price eligible student 2 meals, per day</t>
  </si>
  <si>
    <t>https://www.ers.usda.gov/topics/food-nutrition-assistance/child-nutrition-programs/national-school-lunch-program</t>
  </si>
  <si>
    <t xml:space="preserve">SBP average daily participation </t>
  </si>
  <si>
    <t>Percent of breakfasts provided at free or reduced price</t>
  </si>
  <si>
    <t>percent of SBP meals</t>
  </si>
  <si>
    <t>https://www.ers.usda.gov/topics/food-nutrition-assistance/child-nutrition-programs/school-breakfast-program/</t>
  </si>
  <si>
    <t>percent of NSLP meals</t>
  </si>
  <si>
    <t>Number of breakfasts provided at free or reduced price</t>
  </si>
  <si>
    <t>Number of meals provided at free or reduced price per day</t>
  </si>
  <si>
    <t>millions of meals per day</t>
  </si>
  <si>
    <t>Percentage increase from current meals served</t>
  </si>
  <si>
    <t>percent increase</t>
  </si>
  <si>
    <t>Students would be served breakfast and lunch each day as part of maximized eligibility</t>
  </si>
  <si>
    <t>Cost of current school meals program</t>
  </si>
  <si>
    <t>https://www.census.gov/library/publications/2019/demo/p60-266.html</t>
  </si>
  <si>
    <t>Cost estimates sourced from McLaughlin and Rank (2018), https://source.wustl.edu/2018/04/childhood-poverty-cost-u-s-1-03-trillion-in-a-year-study-finds/</t>
  </si>
  <si>
    <t>Conservative assumption</t>
  </si>
  <si>
    <t>Average age of heart attack</t>
  </si>
  <si>
    <t>Average age of stroke</t>
  </si>
  <si>
    <t>https://www.heart.org/idc/groups/heart-public/@wcm/@sop/@smd/documents/downloadable/ucm_472923.pdf</t>
  </si>
  <si>
    <t>American Heart Association</t>
  </si>
  <si>
    <t>American Academy of Neurology</t>
  </si>
  <si>
    <t>https://www.ncbi.nlm.nih.gov/pmc/articles/PMC3475622/</t>
  </si>
  <si>
    <t>Other metrics not included in quantification</t>
  </si>
  <si>
    <t>Adjustment for most conservative estimate using Supplemental Poverty Measure</t>
  </si>
  <si>
    <t>Other metrics not included</t>
  </si>
  <si>
    <t>Human Health</t>
  </si>
  <si>
    <t>Benefits by metric</t>
  </si>
  <si>
    <t>Benefits by impact area</t>
  </si>
  <si>
    <t>Poverty Alleviation</t>
  </si>
  <si>
    <t>Poverty alleviation</t>
  </si>
  <si>
    <t>Categorized in human health impact area</t>
  </si>
  <si>
    <t>Cost of maximizing utilization based on current program costs</t>
  </si>
  <si>
    <t>Healthy Mediterranean Diet Summary</t>
  </si>
  <si>
    <t>Comparing Healthy Mediterranean Diet to WWF Calculator</t>
  </si>
  <si>
    <t>Infrastructural costs</t>
  </si>
  <si>
    <t>Cost</t>
  </si>
  <si>
    <t>Specific components of category</t>
  </si>
  <si>
    <t>Increased program costs</t>
  </si>
  <si>
    <t>Costs for nutrition education program</t>
  </si>
  <si>
    <t>Cost per student</t>
  </si>
  <si>
    <t>Percent increase in utilization</t>
  </si>
  <si>
    <t>Cost of nutritional education program</t>
  </si>
  <si>
    <t>Total cost of program for 5th graders</t>
  </si>
  <si>
    <t>Number of 5th graders in program</t>
  </si>
  <si>
    <t>Graziose et al</t>
  </si>
  <si>
    <t>https://www.sciencedirect.com/science/article/pii/S1499404616308533#bib20</t>
  </si>
  <si>
    <t>Total cost (bn USD)</t>
  </si>
  <si>
    <t>children</t>
  </si>
  <si>
    <t>Improvement cost from HHFKA</t>
  </si>
  <si>
    <t>Increased food costs from HHFKA</t>
  </si>
  <si>
    <t>quarter</t>
  </si>
  <si>
    <t>half of plate, low calorie</t>
  </si>
  <si>
    <t>Comparing to my plate and micronutrient distribution</t>
  </si>
  <si>
    <t>Meat, poultry, eggs (calculated based on 15% of all meat)</t>
  </si>
  <si>
    <t>Child labor</t>
  </si>
  <si>
    <t>Cropland use + grazing land use</t>
  </si>
  <si>
    <t>AHA dietary score for children 5-19 from grocery stores, restaurants, and other sources</t>
  </si>
  <si>
    <t>Grocery Stores</t>
  </si>
  <si>
    <t>Restaurants</t>
  </si>
  <si>
    <t>Other sources</t>
  </si>
  <si>
    <t>Energy Intake</t>
  </si>
  <si>
    <t>AHA score</t>
  </si>
  <si>
    <t>Schools</t>
  </si>
  <si>
    <t>Setting</t>
  </si>
  <si>
    <t>AHA Dietary Scores for Children by Setting</t>
  </si>
  <si>
    <t>Percentage difference (improvement in gap between current and optimal diet)</t>
  </si>
  <si>
    <t>Total cost (bn) (adjusted for 2019 USD)</t>
  </si>
  <si>
    <t>Source: adjustment between 2015 and 2019 inflation</t>
  </si>
  <si>
    <t>https://data.bls.gov/cgi-bin/cpicalc.pl?cost1=1&amp;year1=201501&amp;year2=201901</t>
  </si>
  <si>
    <t>https://data.bls.gov/cgi-bin/cpicalc.pl?cost1=1&amp;year1=201501&amp;year2=201902</t>
  </si>
  <si>
    <t>https://data.bls.gov/cgi-bin/cpicalc.pl?cost1=1&amp;year1=201501&amp;year2=201903</t>
  </si>
  <si>
    <t>https://data.bls.gov/cgi-bin/cpicalc.pl?cost1=1&amp;year1=201501&amp;year2=201904</t>
  </si>
  <si>
    <t>https://data.bls.gov/cgi-bin/cpicalc.pl?cost1=1&amp;year1=201501&amp;year2=201905</t>
  </si>
  <si>
    <t>https://data.bls.gov/cgi-bin/cpicalc.pl?cost1=1&amp;year1=201501&amp;year2=201906</t>
  </si>
  <si>
    <t>https://data.bls.gov/cgi-bin/cpicalc.pl?cost1=1&amp;year1=201501&amp;year2=201907</t>
  </si>
  <si>
    <t>Children &lt; 18 lifted out of poverty attributable to school breakfasts</t>
  </si>
  <si>
    <t>Benefit of child poverty alleviation attributable to school breakfast (bn)</t>
  </si>
  <si>
    <t>Annual Cost per Child</t>
  </si>
  <si>
    <t>School lunch cost</t>
  </si>
  <si>
    <t>School breakfast cost</t>
  </si>
  <si>
    <t>Ratio of breakfast to lunch cost</t>
  </si>
  <si>
    <t>Adjustment for breakfast cost</t>
  </si>
  <si>
    <t>Adjustment for breakfast cost lower than lunch cost</t>
  </si>
  <si>
    <t>https://academic.oup.com/heapol/article/35/1/107/5591528</t>
  </si>
  <si>
    <t>US guidelines for discounting health effects for economic evaluation of long-term public health interventions</t>
  </si>
  <si>
    <t>Summary of discount factors used for baseline benefits</t>
  </si>
  <si>
    <t>Increase in current benefits based on increased meals offered for students eligible for free &amp; reduced price lunch</t>
  </si>
  <si>
    <t>Current breakfast participation by free / reduced price eligible students</t>
  </si>
  <si>
    <t>Current lunch participation by free / reduced price eligible students</t>
  </si>
  <si>
    <t>Difference to optimal diet</t>
  </si>
  <si>
    <t>Annual local employment</t>
  </si>
  <si>
    <t>Annual local wages</t>
  </si>
  <si>
    <t>jobs</t>
  </si>
  <si>
    <t>https://impacthub.goodfoodpurchasing.org/</t>
  </si>
  <si>
    <t>lbs</t>
  </si>
  <si>
    <t>CO2 emissions averted</t>
  </si>
  <si>
    <t>mn gal</t>
  </si>
  <si>
    <t>Water saved</t>
  </si>
  <si>
    <t>acres</t>
  </si>
  <si>
    <t>The Center for Good Food Purchasing’s Impact Hub (releasing late 2021)</t>
  </si>
  <si>
    <t>Increase local procurement by 30%</t>
  </si>
  <si>
    <t>Reduce beef purchases by 30%</t>
  </si>
  <si>
    <t>Replace top 20 conventional produce items with organic</t>
  </si>
  <si>
    <t>Impact Area</t>
  </si>
  <si>
    <t>Impact</t>
  </si>
  <si>
    <t>Benefit</t>
  </si>
  <si>
    <t>Tons of Food Surplus</t>
  </si>
  <si>
    <t>tons</t>
  </si>
  <si>
    <t>https://insights-engine.refed.org/food-waste-monitor?break_by=subsector&amp;indicator=tons-surplus&amp;sector=foodservice&amp;view=detail&amp;year=2019</t>
  </si>
  <si>
    <t>Cost of Food Surplus</t>
  </si>
  <si>
    <t>GHGs associated with Food Surplus</t>
  </si>
  <si>
    <t>CO2e emissions</t>
  </si>
  <si>
    <t>n/a</t>
  </si>
  <si>
    <t>Reduction in food waste</t>
  </si>
  <si>
    <t>Decreasing food waste</t>
  </si>
  <si>
    <t>Price per meal</t>
  </si>
  <si>
    <t>Dietary NCDs</t>
  </si>
  <si>
    <t>Average age of health event used for Dietary NCDs metric</t>
  </si>
  <si>
    <t>Years for discounting for Dietary NCDs metric</t>
  </si>
  <si>
    <t>Percentage of total remaining for Dietary NCDs metric after discount</t>
  </si>
  <si>
    <t>Corrections and crime deterrence costs</t>
  </si>
  <si>
    <t>Annual cost of childhood poverty from increased corrections and crime deterrence costs</t>
  </si>
  <si>
    <t>Local procurement accounts for 30% of spend</t>
  </si>
  <si>
    <t>Pesticide reduction</t>
  </si>
  <si>
    <t>TCOF change for optimizing procurement</t>
  </si>
  <si>
    <t>Schools with healthiest lunches have higher participation rates (61% vs 50%)</t>
  </si>
  <si>
    <t>https://mathematica.org/publications/school-nutrition-and-meal-cost-study-final-report-volume-4-student-participation-satisfaction-plate</t>
  </si>
  <si>
    <t>Number of breakfasts served</t>
  </si>
  <si>
    <t>Number of lunches served</t>
  </si>
  <si>
    <t xml:space="preserve">Total breakfasts and lunches served annually </t>
  </si>
  <si>
    <t>Additional reimbursement per meal</t>
  </si>
  <si>
    <t>meals</t>
  </si>
  <si>
    <t>Cost of additional reimbursement</t>
  </si>
  <si>
    <t>Assumption of this incentive</t>
  </si>
  <si>
    <t>Implementing values-based procurement shifts</t>
  </si>
  <si>
    <t>Proportion of school meals cost</t>
  </si>
  <si>
    <t>Number of public school students in the US</t>
  </si>
  <si>
    <t>Cost estimates for increased reimbursement of school meals</t>
  </si>
  <si>
    <t xml:space="preserve">Metric </t>
  </si>
  <si>
    <t>Name True Price</t>
  </si>
  <si>
    <t>Currency</t>
  </si>
  <si>
    <t>Factor</t>
  </si>
  <si>
    <t>Conversion</t>
  </si>
  <si>
    <t>Greenhouse gas (GHG) emissions discounted for year 2020</t>
  </si>
  <si>
    <t>EUR</t>
  </si>
  <si>
    <t>EUR/kgCO2eq</t>
  </si>
  <si>
    <t>EUR to USD</t>
  </si>
  <si>
    <t>Water depletion</t>
  </si>
  <si>
    <t>Scarce blue water use</t>
  </si>
  <si>
    <t>EUR/m3</t>
  </si>
  <si>
    <t>Soil erosion (water)</t>
  </si>
  <si>
    <t>Soil loss from water erosion</t>
  </si>
  <si>
    <t>EUR/kg soil loss</t>
  </si>
  <si>
    <t>Soil erosion (wind)</t>
  </si>
  <si>
    <t>Soil loss from wind erosion</t>
  </si>
  <si>
    <t>Land occupation: Tropical forest</t>
  </si>
  <si>
    <t>Land occupation tropical forest</t>
  </si>
  <si>
    <t>EUR/(ha*yr)</t>
  </si>
  <si>
    <t>Land occupation: Other forest</t>
  </si>
  <si>
    <t>Land occupation other forest</t>
  </si>
  <si>
    <t>Land occupation woodland/shrubland</t>
  </si>
  <si>
    <t>Land occupation: Grassland/savannah</t>
  </si>
  <si>
    <t>Land occupation grassland/savannah</t>
  </si>
  <si>
    <t>Child labor 1</t>
  </si>
  <si>
    <t>Underage workers below minimum age (12 or 13) involved in hazardous work</t>
  </si>
  <si>
    <t>EUR/child FTE</t>
  </si>
  <si>
    <t>Child labor 2</t>
  </si>
  <si>
    <t>Workers above minimum age (14 or 15) and below 18 involved in hazardous work</t>
  </si>
  <si>
    <t>EUR/FTE</t>
  </si>
  <si>
    <t>Wage gap workers earning above minimum wage but below decent living wage</t>
  </si>
  <si>
    <t>EUR/EUR</t>
  </si>
  <si>
    <t>Monetization factors</t>
  </si>
  <si>
    <t>Monetary value</t>
  </si>
  <si>
    <t>kg to lb Conversion</t>
  </si>
  <si>
    <t>m3 to gal Conversion</t>
  </si>
  <si>
    <t>gal</t>
  </si>
  <si>
    <t>2. Additional adaptations were made in instances were school meal procurement significantly differed from general food system consumption (e.g., school meals are closer to National Dietary Guidelines)</t>
  </si>
  <si>
    <t>3. An additional adjustment is made for improved nutrition from school meals adhering closely to national guidelines</t>
  </si>
  <si>
    <t>Discount factor subtracted from total</t>
  </si>
  <si>
    <t>https://journals.plos.org/plosone/article?id=10.1371/journal.pone.0200378</t>
  </si>
  <si>
    <t>Cost summary</t>
  </si>
  <si>
    <t>Comparing food in school meals with a healthy Mediterranean diet</t>
  </si>
  <si>
    <t>Equipment</t>
  </si>
  <si>
    <t>Land occupation: Woodland/shrubland</t>
  </si>
  <si>
    <t>Agricultural soil management</t>
  </si>
  <si>
    <t>Enteric fermentation</t>
  </si>
  <si>
    <r>
      <rPr>
        <b/>
        <sz val="11"/>
        <rFont val="Arial"/>
        <family val="2"/>
        <scheme val="minor"/>
      </rPr>
      <t>Attention</t>
    </r>
    <r>
      <rPr>
        <sz val="11"/>
        <rFont val="Arial"/>
        <family val="2"/>
        <scheme val="minor"/>
      </rPr>
      <t>: Includes land use and land-use change only in the US! (e.g, this is an underestimation)</t>
    </r>
  </si>
  <si>
    <t>Estimation of food surplus attributed to free/reduced price meals</t>
  </si>
  <si>
    <t>Free/reduced price meals out of total meals served</t>
  </si>
  <si>
    <t>ReFed estimates the value of food waste in school meals to be $5.09 bn USD, and this likely includes food for meals going to students that do not qualify for free and reduced price</t>
  </si>
  <si>
    <t>Food surplus avoided is assumed to be proportional with the amount of free or reduced price meals</t>
  </si>
  <si>
    <t>Cost of Food Surplus attributed to free/reduced price meals</t>
  </si>
  <si>
    <t>Wages</t>
  </si>
  <si>
    <t>Monetary value (bn USD)</t>
  </si>
  <si>
    <t>Optimizing procurement (bn USD)</t>
  </si>
  <si>
    <t>Additional meals needing to be served per day to cover all students eligible for free / reduced meals</t>
  </si>
  <si>
    <t>TCOF change for maximizing participation</t>
  </si>
  <si>
    <t>Additional benefit of maximizing participation</t>
  </si>
  <si>
    <t>Estimated cost for all students</t>
  </si>
  <si>
    <t>[Note that this is removed from current program impacts] Difference between current diet and diet according to national guidelines (GHG emissions)</t>
  </si>
  <si>
    <t>[Note that this is removed from current program impacts] Difference between current diet and diet according to national guidelines (water use)</t>
  </si>
  <si>
    <t>[Note that this is removed from current program impacts] Assumed same as land use</t>
  </si>
  <si>
    <t>[Note that this is removed from current program impacts] Difference between current diet and diet according to national guidelines (total land use)</t>
  </si>
  <si>
    <t>[Note that this is removed from current program impacts] Difference between current diet and diet according to national guidelines (proxy: eutrophication)</t>
  </si>
  <si>
    <t>Reduction in food waste from increased participation</t>
  </si>
  <si>
    <t>True value of lever (bn USD)</t>
  </si>
  <si>
    <t>Percentage</t>
  </si>
  <si>
    <t>Maximizing participation of the current school meals program (bn USD)</t>
  </si>
  <si>
    <t>True value, including costs (bn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</si>
</sst>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8" formatCode="&quot;$&quot;#,##0.00_);[Red]\(&quot;$&quot;#,##0.00\)"/>
    <numFmt numFmtId="44" formatCode="_(&quot;$&quot;* #,##0.00_);_(&quot;$&quot;* \(#,##0.00\);_(&quot;$&quot;* &quot;-&quot;??_);_(@_)"/>
    <numFmt numFmtId="43" formatCode="_(* #,##0.00_);_(* \(#,##0.00\);_(* &quot;-&quot;??_);_(@_)"/>
    <numFmt numFmtId="164" formatCode="0.0"/>
    <numFmt numFmtId="165" formatCode="0.0%"/>
    <numFmt numFmtId="166" formatCode="_([$$-409]* #,##0.00_);_([$$-409]* \(#,##0.00\);_([$$-409]* &quot;-&quot;??_);_(@_)"/>
    <numFmt numFmtId="167" formatCode="_(* #,##0_);_(* \(#,##0\);_(* &quot;-&quot;??_);_(@_)"/>
    <numFmt numFmtId="168" formatCode="#,##0.000"/>
    <numFmt numFmtId="169" formatCode="_ * #,##0.00_ ;_ * \-#,##0.00_ ;_ * &quot;-&quot;??_ ;_ @_ "/>
    <numFmt numFmtId="170" formatCode="_ * #,##0_ ;_ * \-#,##0_ ;_ * &quot;-&quot;??_ ;_ @_ "/>
    <numFmt numFmtId="171" formatCode="_ * #,##0.0_ ;_ * \-#,##0.0_ ;_ * &quot;-&quot;??_ ;_ @_ "/>
    <numFmt numFmtId="172" formatCode="_(* #,##0.0_);_(* \(#,##0.0\);_(* &quot;-&quot;??_);_(@_)"/>
    <numFmt numFmtId="173" formatCode="_([$$-409]* #,##0_);_([$$-409]* \(#,##0\);_([$$-409]* &quot;-&quot;??_);_(@_)"/>
    <numFmt numFmtId="174" formatCode="&quot;$&quot;#,##0.00"/>
    <numFmt numFmtId="175" formatCode="_(&quot;$&quot;* #,##0_);_(&quot;$&quot;* \(#,##0\);_(&quot;$&quot;* &quot;-&quot;??_);_(@_)"/>
  </numFmts>
  <fonts count="37" x14ac:knownFonts="1">
    <font>
      <sz val="11"/>
      <color theme="1"/>
      <name val="Arial"/>
      <family val="2"/>
      <scheme val="minor"/>
    </font>
    <font>
      <sz val="11"/>
      <color theme="1"/>
      <name val="Arial"/>
      <family val="2"/>
      <scheme val="minor"/>
    </font>
    <font>
      <b/>
      <sz val="11"/>
      <color rgb="FF3F3F3F"/>
      <name val="Arial"/>
      <family val="2"/>
      <scheme val="minor"/>
    </font>
    <font>
      <b/>
      <sz val="11"/>
      <name val="Arial"/>
      <family val="2"/>
      <scheme val="minor"/>
    </font>
    <font>
      <sz val="11"/>
      <color rgb="FF3F3F76"/>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3"/>
      <name val="Arial"/>
      <family val="2"/>
      <scheme val="minor"/>
    </font>
    <font>
      <sz val="11"/>
      <color rgb="FFC00000"/>
      <name val="Arial"/>
      <family val="2"/>
      <scheme val="minor"/>
    </font>
    <font>
      <sz val="11"/>
      <name val="Arial"/>
      <family val="2"/>
      <scheme val="minor"/>
    </font>
    <font>
      <u/>
      <sz val="11"/>
      <color theme="6"/>
      <name val="Arial"/>
      <family val="2"/>
      <scheme val="minor"/>
    </font>
    <font>
      <b/>
      <sz val="22"/>
      <name val="Georgia"/>
      <family val="2"/>
      <scheme val="major"/>
    </font>
    <font>
      <sz val="11"/>
      <color theme="3"/>
      <name val="Arial"/>
      <family val="2"/>
      <scheme val="minor"/>
    </font>
    <font>
      <sz val="11"/>
      <color rgb="FF0000FF"/>
      <name val="Arial"/>
      <family val="2"/>
      <scheme val="minor"/>
    </font>
    <font>
      <sz val="11"/>
      <color theme="1" tint="0.34998626667073579"/>
      <name val="Arial"/>
      <family val="2"/>
      <scheme val="minor"/>
    </font>
    <font>
      <b/>
      <sz val="11"/>
      <color theme="1"/>
      <name val="Arial"/>
      <family val="2"/>
      <scheme val="minor"/>
    </font>
    <font>
      <sz val="11"/>
      <color theme="0" tint="-0.499984740745262"/>
      <name val="Arial"/>
      <family val="2"/>
      <scheme val="minor"/>
    </font>
    <font>
      <b/>
      <sz val="11"/>
      <color theme="0" tint="-0.499984740745262"/>
      <name val="Arial"/>
      <family val="2"/>
      <scheme val="minor"/>
    </font>
    <font>
      <u/>
      <sz val="11"/>
      <color theme="10"/>
      <name val="Arial"/>
      <family val="2"/>
      <scheme val="minor"/>
    </font>
    <font>
      <b/>
      <sz val="18"/>
      <color theme="0"/>
      <name val="Arial"/>
      <family val="2"/>
      <scheme val="minor"/>
    </font>
    <font>
      <b/>
      <sz val="11"/>
      <color rgb="FFC00000"/>
      <name val="Arial"/>
      <family val="2"/>
      <scheme val="minor"/>
    </font>
    <font>
      <sz val="11"/>
      <color theme="1"/>
      <name val="Arial"/>
      <family val="2"/>
      <scheme val="minor"/>
    </font>
    <font>
      <b/>
      <sz val="14"/>
      <color theme="0"/>
      <name val="Arial"/>
      <family val="2"/>
      <scheme val="minor"/>
    </font>
    <font>
      <sz val="11"/>
      <color theme="0"/>
      <name val="Arial"/>
      <family val="2"/>
      <scheme val="minor"/>
    </font>
    <font>
      <sz val="10"/>
      <name val="Arial"/>
      <family val="2"/>
    </font>
    <font>
      <sz val="14"/>
      <color theme="0"/>
      <name val="Arial"/>
      <family val="2"/>
      <scheme val="minor"/>
    </font>
    <font>
      <b/>
      <sz val="16"/>
      <color theme="0"/>
      <name val="Arial"/>
      <family val="2"/>
      <scheme val="minor"/>
    </font>
    <font>
      <sz val="16"/>
      <color theme="0"/>
      <name val="Arial"/>
      <family val="2"/>
      <scheme val="minor"/>
    </font>
    <font>
      <sz val="8"/>
      <name val="Arial"/>
      <family val="2"/>
      <scheme val="minor"/>
    </font>
    <font>
      <b/>
      <sz val="11"/>
      <color rgb="FFFF0000"/>
      <name val="Arial"/>
      <family val="2"/>
      <scheme val="minor"/>
    </font>
    <font>
      <sz val="11"/>
      <color rgb="FF000000"/>
      <name val="Arial"/>
      <family val="2"/>
      <scheme val="minor"/>
    </font>
    <font>
      <i/>
      <sz val="11"/>
      <color theme="1"/>
      <name val="Arial"/>
      <family val="2"/>
      <scheme val="minor"/>
    </font>
    <font>
      <sz val="11"/>
      <color theme="0" tint="-0.34998626667073579"/>
      <name val="Arial"/>
      <family val="2"/>
      <scheme val="minor"/>
    </font>
    <font>
      <sz val="11"/>
      <color theme="0" tint="-0.14999847407452621"/>
      <name val="Arial"/>
      <family val="2"/>
      <scheme val="minor"/>
    </font>
  </fonts>
  <fills count="34">
    <fill>
      <patternFill patternType="none"/>
    </fill>
    <fill>
      <patternFill patternType="gray125"/>
    </fill>
    <fill>
      <patternFill patternType="solid">
        <fgColor rgb="FFFFC000"/>
        <bgColor indexed="64"/>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bgColor indexed="64"/>
      </patternFill>
    </fill>
    <fill>
      <patternFill patternType="solid">
        <fgColor rgb="FFE6E6E6"/>
        <bgColor indexed="64"/>
      </patternFill>
    </fill>
    <fill>
      <patternFill patternType="solid">
        <fgColor theme="7"/>
        <bgColor indexed="64"/>
      </patternFill>
    </fill>
    <fill>
      <patternFill patternType="solid">
        <fgColor theme="6"/>
        <bgColor indexed="64"/>
      </patternFill>
    </fill>
    <fill>
      <patternFill patternType="solid">
        <fgColor theme="7"/>
      </patternFill>
    </fill>
    <fill>
      <patternFill patternType="solid">
        <fgColor theme="9"/>
      </patternFill>
    </fill>
    <fill>
      <patternFill patternType="solid">
        <fgColor theme="4" tint="0.749992370372631"/>
        <bgColor indexed="64"/>
      </patternFill>
    </fill>
    <fill>
      <patternFill patternType="solid">
        <fgColor theme="0"/>
        <bgColor indexed="64"/>
      </patternFill>
    </fill>
    <fill>
      <patternFill patternType="solid">
        <fgColor rgb="FF2251FF"/>
        <bgColor indexed="64"/>
      </patternFill>
    </fill>
    <fill>
      <patternFill patternType="solid">
        <fgColor rgb="FF00A9F4"/>
        <bgColor indexed="64"/>
      </patternFill>
    </fill>
    <fill>
      <patternFill patternType="solid">
        <fgColor rgb="FF6DC1DB"/>
        <bgColor indexed="64"/>
      </patternFill>
    </fill>
    <fill>
      <patternFill patternType="solid">
        <fgColor rgb="FFD0D0D0"/>
        <bgColor indexed="64"/>
      </patternFill>
    </fill>
    <fill>
      <patternFill patternType="solid">
        <fgColor rgb="FFFAA082"/>
        <bgColor indexed="64"/>
      </patternFill>
    </fill>
    <fill>
      <patternFill patternType="solid">
        <fgColor theme="0" tint="-4.9989318521683403E-2"/>
        <bgColor indexed="64"/>
      </patternFill>
    </fill>
    <fill>
      <patternFill patternType="solid">
        <fgColor theme="4" tint="0.89999084444715716"/>
        <bgColor indexed="64"/>
      </patternFill>
    </fill>
    <fill>
      <patternFill patternType="solid">
        <fgColor theme="5" tint="0.79998168889431442"/>
        <bgColor indexed="64"/>
      </patternFill>
    </fill>
    <fill>
      <patternFill patternType="solid">
        <fgColor rgb="FF002060"/>
        <bgColor indexed="64"/>
      </patternFill>
    </fill>
    <fill>
      <patternFill patternType="solid">
        <fgColor theme="7" tint="-9.9978637043366805E-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9.9978637043366805E-2"/>
        <bgColor indexed="64"/>
      </patternFill>
    </fill>
    <fill>
      <patternFill patternType="solid">
        <fgColor rgb="FFF39B9B"/>
        <bgColor indexed="64"/>
      </patternFill>
    </fill>
    <fill>
      <patternFill patternType="solid">
        <fgColor rgb="FFC4E59F"/>
        <bgColor indexed="64"/>
      </patternFill>
    </fill>
    <fill>
      <patternFill patternType="solid">
        <fgColor theme="4" tint="0.499984740745262"/>
        <bgColor indexed="64"/>
      </patternFill>
    </fill>
    <fill>
      <patternFill patternType="solid">
        <fgColor rgb="FFFFFF99"/>
        <bgColor indexed="64"/>
      </patternFill>
    </fill>
    <fill>
      <patternFill patternType="solid">
        <fgColor theme="9" tint="-0.249977111117893"/>
        <bgColor indexed="64"/>
      </patternFill>
    </fill>
  </fills>
  <borders count="32">
    <border>
      <left/>
      <right/>
      <top/>
      <bottom/>
      <diagonal/>
    </border>
    <border>
      <left/>
      <right/>
      <top style="hair">
        <color rgb="FF3F3F3F"/>
      </top>
      <bottom style="hair">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rgb="FF7F7F7F"/>
      </bottom>
      <diagonal/>
    </border>
    <border>
      <left/>
      <right/>
      <top style="thick">
        <color rgb="FF4D4D4D"/>
      </top>
      <bottom style="thick">
        <color rgb="FF4D4D4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double">
        <color indexed="64"/>
      </bottom>
      <diagonal/>
    </border>
    <border>
      <left/>
      <right style="medium">
        <color indexed="64"/>
      </right>
      <top style="medium">
        <color indexed="64"/>
      </top>
      <bottom/>
      <diagonal/>
    </border>
    <border>
      <left/>
      <right/>
      <top style="thin">
        <color indexed="64"/>
      </top>
      <bottom style="thin">
        <color indexed="64"/>
      </bottom>
      <diagonal/>
    </border>
  </borders>
  <cellStyleXfs count="33">
    <xf numFmtId="0" fontId="0" fillId="0" borderId="0"/>
    <xf numFmtId="0" fontId="15" fillId="11" borderId="0" applyNumberFormat="0" applyAlignment="0" applyProtection="0">
      <alignment vertical="center"/>
    </xf>
    <xf numFmtId="0" fontId="10" fillId="0" borderId="0" applyNumberFormat="0" applyAlignment="0" applyProtection="0"/>
    <xf numFmtId="0" fontId="3" fillId="0" borderId="6" applyNumberFormat="0" applyAlignment="0" applyProtection="0"/>
    <xf numFmtId="0" fontId="7" fillId="8" borderId="0" applyNumberFormat="0" applyAlignment="0" applyProtection="0">
      <alignment vertical="center"/>
    </xf>
    <xf numFmtId="0" fontId="2" fillId="2" borderId="1" applyNumberFormat="0" applyProtection="0">
      <alignment vertical="center"/>
    </xf>
    <xf numFmtId="0" fontId="16" fillId="0" borderId="0" applyNumberFormat="0" applyAlignment="0" applyProtection="0">
      <alignment vertical="center"/>
    </xf>
    <xf numFmtId="0" fontId="1" fillId="10" borderId="0" applyNumberFormat="0" applyAlignment="0" applyProtection="0">
      <alignment vertical="center"/>
    </xf>
    <xf numFmtId="0" fontId="11" fillId="3" borderId="0" applyNumberFormat="0" applyBorder="0" applyAlignment="0" applyProtection="0"/>
    <xf numFmtId="0" fontId="4" fillId="4" borderId="2" applyNumberFormat="0" applyAlignment="0" applyProtection="0"/>
    <xf numFmtId="0" fontId="5" fillId="5" borderId="2" applyNumberFormat="0" applyAlignment="0" applyProtection="0"/>
    <xf numFmtId="0" fontId="6" fillId="0" borderId="3" applyNumberFormat="0" applyFill="0" applyAlignment="0" applyProtection="0"/>
    <xf numFmtId="0" fontId="7" fillId="6" borderId="4" applyNumberFormat="0" applyAlignment="0" applyProtection="0"/>
    <xf numFmtId="0" fontId="8" fillId="0" borderId="0" applyNumberFormat="0" applyFill="0" applyBorder="0" applyAlignment="0" applyProtection="0"/>
    <xf numFmtId="0" fontId="1" fillId="7" borderId="5" applyNumberFormat="0" applyFont="0" applyAlignment="0" applyProtection="0"/>
    <xf numFmtId="0" fontId="9" fillId="0" borderId="0" applyNumberFormat="0" applyFill="0" applyBorder="0" applyAlignment="0" applyProtection="0"/>
    <xf numFmtId="0" fontId="14" fillId="0" borderId="0" applyNumberFormat="0" applyAlignment="0" applyProtection="0"/>
    <xf numFmtId="0" fontId="3" fillId="9" borderId="0" applyNumberFormat="0" applyAlignment="0" applyProtection="0">
      <alignment vertical="center"/>
    </xf>
    <xf numFmtId="0" fontId="3" fillId="0" borderId="7" applyNumberFormat="0" applyAlignment="0" applyProtection="0"/>
    <xf numFmtId="0" fontId="12" fillId="0" borderId="0" applyNumberFormat="0" applyAlignment="0" applyProtection="0">
      <alignment vertical="center"/>
    </xf>
    <xf numFmtId="0" fontId="13" fillId="0" borderId="0" applyNumberFormat="0" applyAlignment="0" applyProtection="0">
      <alignment vertical="center"/>
    </xf>
    <xf numFmtId="0" fontId="8" fillId="0" borderId="0" applyNumberFormat="0" applyAlignment="0" applyProtection="0">
      <alignment vertical="center"/>
    </xf>
    <xf numFmtId="0" fontId="17" fillId="0" borderId="0" applyNumberFormat="0" applyAlignment="0" applyProtection="0">
      <alignment vertical="center"/>
    </xf>
    <xf numFmtId="0" fontId="12" fillId="12" borderId="0" applyNumberFormat="0" applyBorder="0" applyAlignment="0" applyProtection="0"/>
    <xf numFmtId="0" fontId="12" fillId="13"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43" fontId="1" fillId="0" borderId="0" applyFont="0" applyFill="0" applyBorder="0" applyAlignment="0" applyProtection="0"/>
    <xf numFmtId="0" fontId="24" fillId="0" borderId="0"/>
    <xf numFmtId="44" fontId="24" fillId="0" borderId="0" applyFont="0" applyFill="0" applyBorder="0" applyAlignment="0" applyProtection="0"/>
    <xf numFmtId="169" fontId="1" fillId="0" borderId="0" applyFont="0" applyFill="0" applyBorder="0" applyAlignment="0" applyProtection="0"/>
    <xf numFmtId="0" fontId="27" fillId="0" borderId="0" applyNumberFormat="0" applyFont="0" applyFill="0" applyBorder="0" applyAlignment="0" applyProtection="0"/>
  </cellStyleXfs>
  <cellXfs count="464">
    <xf numFmtId="0" fontId="0" fillId="0" borderId="0" xfId="0"/>
    <xf numFmtId="0" fontId="18" fillId="14" borderId="0" xfId="0" applyFont="1" applyFill="1"/>
    <xf numFmtId="0" fontId="0" fillId="14" borderId="0" xfId="0" applyFill="1"/>
    <xf numFmtId="0" fontId="0" fillId="15" borderId="0" xfId="0" applyFill="1"/>
    <xf numFmtId="0" fontId="18" fillId="15" borderId="0" xfId="0" applyFont="1" applyFill="1"/>
    <xf numFmtId="0" fontId="0" fillId="15" borderId="0" xfId="0" applyFill="1" applyBorder="1"/>
    <xf numFmtId="0" fontId="0" fillId="15" borderId="8" xfId="0" applyFill="1" applyBorder="1"/>
    <xf numFmtId="0" fontId="0" fillId="16" borderId="0" xfId="0" applyFill="1"/>
    <xf numFmtId="0" fontId="0" fillId="17" borderId="0" xfId="0" applyFill="1"/>
    <xf numFmtId="0" fontId="0" fillId="18" borderId="0" xfId="0" applyFill="1"/>
    <xf numFmtId="0" fontId="0" fillId="19" borderId="0" xfId="0" applyFill="1"/>
    <xf numFmtId="0" fontId="0" fillId="20" borderId="0" xfId="0" applyFill="1"/>
    <xf numFmtId="0" fontId="0" fillId="21" borderId="0" xfId="0" applyFill="1"/>
    <xf numFmtId="0" fontId="18" fillId="15" borderId="8" xfId="0" applyFont="1" applyFill="1" applyBorder="1"/>
    <xf numFmtId="0" fontId="19" fillId="15" borderId="0" xfId="0" applyFont="1" applyFill="1"/>
    <xf numFmtId="0" fontId="0" fillId="15" borderId="0" xfId="0" applyFont="1" applyFill="1"/>
    <xf numFmtId="9" fontId="0" fillId="15" borderId="0" xfId="0" applyNumberFormat="1" applyFill="1"/>
    <xf numFmtId="0" fontId="18" fillId="15" borderId="0" xfId="0" applyFont="1" applyFill="1" applyBorder="1"/>
    <xf numFmtId="0" fontId="0" fillId="15" borderId="0" xfId="0" applyFill="1" applyBorder="1" applyAlignment="1">
      <alignment horizontal="left" vertical="center"/>
    </xf>
    <xf numFmtId="0" fontId="0" fillId="15" borderId="0" xfId="0" applyFill="1" applyBorder="1" applyAlignment="1">
      <alignment vertical="center"/>
    </xf>
    <xf numFmtId="164" fontId="18" fillId="15" borderId="0" xfId="0" applyNumberFormat="1" applyFont="1" applyFill="1" applyBorder="1"/>
    <xf numFmtId="1" fontId="18" fillId="15" borderId="0" xfId="0" applyNumberFormat="1" applyFont="1" applyFill="1" applyBorder="1"/>
    <xf numFmtId="9" fontId="0" fillId="15" borderId="0" xfId="26" applyFont="1" applyFill="1"/>
    <xf numFmtId="2" fontId="0" fillId="15" borderId="0" xfId="0" applyNumberFormat="1" applyFill="1"/>
    <xf numFmtId="164" fontId="0" fillId="15" borderId="0" xfId="0" applyNumberFormat="1" applyFill="1"/>
    <xf numFmtId="0" fontId="18" fillId="22" borderId="0" xfId="0" applyFont="1" applyFill="1"/>
    <xf numFmtId="0" fontId="0" fillId="22" borderId="0" xfId="0" applyFill="1"/>
    <xf numFmtId="1" fontId="0" fillId="15" borderId="0" xfId="0" applyNumberFormat="1" applyFill="1"/>
    <xf numFmtId="0" fontId="18" fillId="15" borderId="0" xfId="0" applyFont="1" applyFill="1" applyAlignment="1">
      <alignment horizontal="right"/>
    </xf>
    <xf numFmtId="164" fontId="0" fillId="15" borderId="0" xfId="26" applyNumberFormat="1" applyFont="1" applyFill="1"/>
    <xf numFmtId="0" fontId="18" fillId="21" borderId="0" xfId="0" applyFont="1" applyFill="1"/>
    <xf numFmtId="0" fontId="18" fillId="21" borderId="0" xfId="0" applyFont="1" applyFill="1" applyAlignment="1">
      <alignment wrapText="1"/>
    </xf>
    <xf numFmtId="0" fontId="18" fillId="21" borderId="0" xfId="0" applyFont="1" applyFill="1" applyBorder="1"/>
    <xf numFmtId="0" fontId="0" fillId="15" borderId="0" xfId="0" applyFont="1" applyFill="1" applyBorder="1" applyAlignment="1">
      <alignment horizontal="right"/>
    </xf>
    <xf numFmtId="0" fontId="18" fillId="0" borderId="0" xfId="0" applyFont="1"/>
    <xf numFmtId="0" fontId="20" fillId="21" borderId="0" xfId="0" applyFont="1" applyFill="1"/>
    <xf numFmtId="9" fontId="18" fillId="15" borderId="0" xfId="26" applyFont="1" applyFill="1"/>
    <xf numFmtId="0" fontId="18" fillId="15" borderId="0" xfId="0" applyFont="1" applyFill="1" applyBorder="1" applyAlignment="1">
      <alignment wrapText="1"/>
    </xf>
    <xf numFmtId="0" fontId="0" fillId="15" borderId="0" xfId="0" applyFill="1" applyAlignment="1">
      <alignment vertical="top"/>
    </xf>
    <xf numFmtId="0" fontId="0" fillId="15" borderId="0" xfId="0" applyFill="1" applyAlignment="1">
      <alignment vertical="top" wrapText="1"/>
    </xf>
    <xf numFmtId="0" fontId="0" fillId="15" borderId="0" xfId="0" applyFill="1" applyBorder="1" applyAlignment="1">
      <alignment vertical="top"/>
    </xf>
    <xf numFmtId="0" fontId="0" fillId="0" borderId="8" xfId="0" applyBorder="1"/>
    <xf numFmtId="0" fontId="18" fillId="0" borderId="8" xfId="0" applyFont="1" applyBorder="1"/>
    <xf numFmtId="0" fontId="18" fillId="21" borderId="8" xfId="0" applyFont="1" applyFill="1"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0" xfId="0" applyBorder="1"/>
    <xf numFmtId="0" fontId="0" fillId="0" borderId="18" xfId="0" applyBorder="1"/>
    <xf numFmtId="0" fontId="22" fillId="24" borderId="0" xfId="0" applyFont="1" applyFill="1"/>
    <xf numFmtId="9" fontId="0" fillId="0" borderId="8" xfId="26" applyFont="1" applyBorder="1"/>
    <xf numFmtId="9" fontId="0" fillId="0" borderId="0" xfId="26" applyFont="1"/>
    <xf numFmtId="9" fontId="0" fillId="0" borderId="8" xfId="0" applyNumberFormat="1" applyBorder="1"/>
    <xf numFmtId="9" fontId="19" fillId="15" borderId="0" xfId="26" applyFont="1" applyFill="1"/>
    <xf numFmtId="0" fontId="11" fillId="15" borderId="0" xfId="0" applyFont="1" applyFill="1"/>
    <xf numFmtId="0" fontId="18" fillId="30" borderId="0" xfId="0" applyFont="1" applyFill="1"/>
    <xf numFmtId="0" fontId="0" fillId="22" borderId="0" xfId="0" applyFont="1" applyFill="1" applyBorder="1" applyAlignment="1">
      <alignment horizontal="right"/>
    </xf>
    <xf numFmtId="0" fontId="0" fillId="15" borderId="0" xfId="0" applyFill="1" applyAlignment="1">
      <alignment wrapText="1"/>
    </xf>
    <xf numFmtId="0" fontId="0" fillId="15" borderId="0" xfId="0" applyFont="1" applyFill="1" applyAlignment="1">
      <alignment wrapText="1"/>
    </xf>
    <xf numFmtId="0" fontId="18" fillId="21" borderId="0" xfId="0" applyFont="1" applyFill="1" applyBorder="1" applyAlignment="1">
      <alignment wrapText="1"/>
    </xf>
    <xf numFmtId="0" fontId="0" fillId="27" borderId="0" xfId="0" applyFill="1"/>
    <xf numFmtId="0" fontId="21" fillId="15" borderId="0" xfId="27" applyFill="1"/>
    <xf numFmtId="9" fontId="18" fillId="15" borderId="8" xfId="26" applyFont="1" applyFill="1" applyBorder="1"/>
    <xf numFmtId="0" fontId="0" fillId="15" borderId="0" xfId="0" applyFill="1" applyAlignment="1"/>
    <xf numFmtId="43" fontId="0" fillId="0" borderId="0" xfId="28" applyFont="1"/>
    <xf numFmtId="0" fontId="0" fillId="15" borderId="0" xfId="0" applyFont="1" applyFill="1" applyBorder="1" applyAlignment="1">
      <alignment vertical="center"/>
    </xf>
    <xf numFmtId="44" fontId="0" fillId="15" borderId="0" xfId="25" applyFont="1" applyFill="1"/>
    <xf numFmtId="44" fontId="0" fillId="27" borderId="0" xfId="25" applyFont="1" applyFill="1" applyBorder="1"/>
    <xf numFmtId="0" fontId="18" fillId="26" borderId="0" xfId="0" applyFont="1" applyFill="1"/>
    <xf numFmtId="0" fontId="0" fillId="26" borderId="0" xfId="0" applyFill="1"/>
    <xf numFmtId="0" fontId="18" fillId="26" borderId="0" xfId="0" applyFont="1" applyFill="1" applyBorder="1" applyAlignment="1">
      <alignment vertical="center"/>
    </xf>
    <xf numFmtId="0" fontId="18" fillId="26" borderId="0" xfId="0" applyFont="1" applyFill="1" applyBorder="1"/>
    <xf numFmtId="44" fontId="18" fillId="26" borderId="0" xfId="25" applyFont="1" applyFill="1" applyBorder="1"/>
    <xf numFmtId="9" fontId="18" fillId="26" borderId="0" xfId="26" applyFont="1" applyFill="1"/>
    <xf numFmtId="44" fontId="18" fillId="26" borderId="0" xfId="25" applyFont="1" applyFill="1"/>
    <xf numFmtId="44" fontId="0" fillId="0" borderId="0" xfId="25" applyFont="1"/>
    <xf numFmtId="0" fontId="18" fillId="21" borderId="0" xfId="0" applyFont="1" applyFill="1" applyBorder="1" applyAlignment="1">
      <alignment vertical="center"/>
    </xf>
    <xf numFmtId="9" fontId="18" fillId="21" borderId="0" xfId="26" applyFont="1" applyFill="1" applyAlignment="1">
      <alignment wrapText="1"/>
    </xf>
    <xf numFmtId="164" fontId="18" fillId="21" borderId="0" xfId="0" applyNumberFormat="1" applyFont="1" applyFill="1" applyAlignment="1">
      <alignment wrapText="1"/>
    </xf>
    <xf numFmtId="0" fontId="18" fillId="25" borderId="0" xfId="0" applyFont="1" applyFill="1" applyBorder="1" applyAlignment="1">
      <alignment vertical="center"/>
    </xf>
    <xf numFmtId="0" fontId="0" fillId="25" borderId="0" xfId="0" applyFill="1" applyBorder="1"/>
    <xf numFmtId="0" fontId="0" fillId="25" borderId="0" xfId="0" applyFill="1"/>
    <xf numFmtId="9" fontId="0" fillId="25" borderId="0" xfId="26" applyFont="1" applyFill="1"/>
    <xf numFmtId="164" fontId="0" fillId="25" borderId="0" xfId="26" applyNumberFormat="1" applyFont="1" applyFill="1"/>
    <xf numFmtId="164" fontId="0" fillId="25" borderId="0" xfId="0" applyNumberFormat="1" applyFill="1"/>
    <xf numFmtId="0" fontId="18" fillId="25" borderId="0" xfId="0" applyFont="1" applyFill="1" applyBorder="1"/>
    <xf numFmtId="1" fontId="0" fillId="25" borderId="0" xfId="25" applyNumberFormat="1" applyFont="1" applyFill="1" applyBorder="1"/>
    <xf numFmtId="0" fontId="18" fillId="25" borderId="0" xfId="0" applyFont="1" applyFill="1"/>
    <xf numFmtId="9" fontId="1" fillId="26" borderId="0" xfId="26" applyFont="1" applyFill="1"/>
    <xf numFmtId="44" fontId="18" fillId="25" borderId="0" xfId="25" applyFont="1" applyFill="1"/>
    <xf numFmtId="44" fontId="0" fillId="0" borderId="0" xfId="0" applyNumberFormat="1"/>
    <xf numFmtId="44" fontId="0" fillId="15" borderId="0" xfId="0" applyNumberFormat="1" applyFill="1"/>
    <xf numFmtId="0" fontId="12" fillId="15" borderId="0" xfId="0" applyFont="1" applyFill="1"/>
    <xf numFmtId="44" fontId="0" fillId="15" borderId="8" xfId="25" applyFont="1" applyFill="1" applyBorder="1"/>
    <xf numFmtId="44" fontId="0" fillId="21" borderId="8" xfId="0" applyNumberFormat="1" applyFill="1" applyBorder="1"/>
    <xf numFmtId="0" fontId="0" fillId="15" borderId="8" xfId="0" applyFill="1" applyBorder="1" applyAlignment="1">
      <alignment vertical="center"/>
    </xf>
    <xf numFmtId="0" fontId="0" fillId="15" borderId="8" xfId="0" applyFill="1" applyBorder="1" applyAlignment="1">
      <alignment horizontal="left" vertical="center"/>
    </xf>
    <xf numFmtId="9" fontId="0" fillId="0" borderId="0" xfId="26" applyFont="1" applyFill="1"/>
    <xf numFmtId="0" fontId="0" fillId="0" borderId="0" xfId="0" applyFill="1"/>
    <xf numFmtId="0" fontId="18" fillId="28" borderId="0" xfId="0" applyFont="1" applyFill="1"/>
    <xf numFmtId="0" fontId="0" fillId="28" borderId="0" xfId="0" applyFill="1"/>
    <xf numFmtId="9" fontId="0" fillId="22" borderId="9" xfId="26" applyFont="1" applyFill="1" applyBorder="1"/>
    <xf numFmtId="9" fontId="0" fillId="22" borderId="10" xfId="26" applyFont="1" applyFill="1" applyBorder="1"/>
    <xf numFmtId="9" fontId="19" fillId="22" borderId="10" xfId="26" applyFont="1" applyFill="1" applyBorder="1"/>
    <xf numFmtId="9" fontId="0" fillId="22" borderId="11" xfId="26" applyFont="1" applyFill="1" applyBorder="1"/>
    <xf numFmtId="9" fontId="0" fillId="22" borderId="8" xfId="26" applyFont="1" applyFill="1" applyBorder="1"/>
    <xf numFmtId="166" fontId="0" fillId="15" borderId="0" xfId="0" applyNumberFormat="1" applyFill="1"/>
    <xf numFmtId="166" fontId="18" fillId="15" borderId="0" xfId="0" applyNumberFormat="1" applyFont="1" applyFill="1"/>
    <xf numFmtId="0" fontId="0" fillId="0" borderId="0" xfId="0" applyAlignment="1">
      <alignment wrapText="1"/>
    </xf>
    <xf numFmtId="9" fontId="0" fillId="0" borderId="0" xfId="0" applyNumberFormat="1" applyFill="1"/>
    <xf numFmtId="9" fontId="0" fillId="0" borderId="8" xfId="26" applyFont="1" applyFill="1" applyBorder="1"/>
    <xf numFmtId="0" fontId="18" fillId="28" borderId="8" xfId="0" applyFont="1" applyFill="1" applyBorder="1"/>
    <xf numFmtId="0" fontId="18" fillId="28" borderId="8" xfId="0" applyFont="1" applyFill="1" applyBorder="1" applyAlignment="1">
      <alignment wrapText="1"/>
    </xf>
    <xf numFmtId="0" fontId="0" fillId="28" borderId="8" xfId="0" applyFont="1" applyFill="1" applyBorder="1" applyAlignment="1">
      <alignment vertical="center"/>
    </xf>
    <xf numFmtId="44" fontId="0" fillId="28" borderId="8" xfId="0" applyNumberFormat="1" applyFont="1" applyFill="1" applyBorder="1"/>
    <xf numFmtId="44" fontId="18" fillId="28" borderId="8" xfId="0" applyNumberFormat="1" applyFont="1" applyFill="1" applyBorder="1"/>
    <xf numFmtId="0" fontId="0" fillId="15" borderId="0" xfId="0" applyFill="1" applyBorder="1" applyAlignment="1">
      <alignment wrapText="1"/>
    </xf>
    <xf numFmtId="167" fontId="0" fillId="15" borderId="0" xfId="28" applyNumberFormat="1" applyFont="1" applyFill="1"/>
    <xf numFmtId="0" fontId="0" fillId="0" borderId="0" xfId="0" applyFont="1" applyFill="1"/>
    <xf numFmtId="0" fontId="0" fillId="15" borderId="0" xfId="0" applyFill="1" applyAlignment="1">
      <alignment horizontal="left" indent="1"/>
    </xf>
    <xf numFmtId="0" fontId="0" fillId="15" borderId="0" xfId="0" applyFill="1" applyAlignment="1">
      <alignment horizontal="left"/>
    </xf>
    <xf numFmtId="3" fontId="0" fillId="15" borderId="0" xfId="0" applyNumberFormat="1" applyFill="1"/>
    <xf numFmtId="168" fontId="0" fillId="15" borderId="0" xfId="0" applyNumberFormat="1" applyFill="1"/>
    <xf numFmtId="10" fontId="0" fillId="0" borderId="0" xfId="0" applyNumberFormat="1"/>
    <xf numFmtId="2" fontId="0" fillId="0" borderId="0" xfId="0" applyNumberFormat="1"/>
    <xf numFmtId="168" fontId="0" fillId="0" borderId="0" xfId="0" applyNumberFormat="1"/>
    <xf numFmtId="166" fontId="0" fillId="0" borderId="0" xfId="0" applyNumberFormat="1" applyFont="1" applyFill="1" applyAlignment="1">
      <alignment horizontal="right"/>
    </xf>
    <xf numFmtId="166" fontId="12" fillId="0" borderId="0" xfId="0" applyNumberFormat="1" applyFont="1" applyFill="1" applyAlignment="1">
      <alignment horizontal="right"/>
    </xf>
    <xf numFmtId="0" fontId="23" fillId="0" borderId="0" xfId="0" applyFont="1" applyFill="1"/>
    <xf numFmtId="44" fontId="0" fillId="25" borderId="0" xfId="0" applyNumberFormat="1" applyFill="1" applyBorder="1"/>
    <xf numFmtId="0" fontId="18" fillId="27" borderId="0" xfId="0" applyFont="1" applyFill="1" applyBorder="1"/>
    <xf numFmtId="0" fontId="18" fillId="22" borderId="8" xfId="0" applyFont="1" applyFill="1" applyBorder="1"/>
    <xf numFmtId="44" fontId="18" fillId="22" borderId="8" xfId="0" applyNumberFormat="1" applyFont="1" applyFill="1" applyBorder="1"/>
    <xf numFmtId="0" fontId="18" fillId="23" borderId="8" xfId="0" applyFont="1" applyFill="1" applyBorder="1" applyAlignment="1">
      <alignment wrapText="1"/>
    </xf>
    <xf numFmtId="44" fontId="18" fillId="23" borderId="8" xfId="0" applyNumberFormat="1" applyFont="1" applyFill="1" applyBorder="1"/>
    <xf numFmtId="166" fontId="0" fillId="15" borderId="8" xfId="0" applyNumberFormat="1" applyFill="1" applyBorder="1"/>
    <xf numFmtId="44" fontId="0" fillId="0" borderId="0" xfId="25" applyFont="1" applyFill="1" applyBorder="1"/>
    <xf numFmtId="165" fontId="0" fillId="22" borderId="0" xfId="26" applyNumberFormat="1" applyFont="1" applyFill="1"/>
    <xf numFmtId="0" fontId="0" fillId="23" borderId="0" xfId="0" applyFill="1"/>
    <xf numFmtId="0" fontId="0" fillId="26" borderId="0" xfId="0" applyFill="1" applyAlignment="1">
      <alignment wrapText="1"/>
    </xf>
    <xf numFmtId="0" fontId="0" fillId="25" borderId="0" xfId="0" applyFill="1" applyAlignment="1">
      <alignment wrapText="1"/>
    </xf>
    <xf numFmtId="167" fontId="0" fillId="25" borderId="0" xfId="28" applyNumberFormat="1" applyFont="1" applyFill="1"/>
    <xf numFmtId="44" fontId="0" fillId="27" borderId="8" xfId="0" applyNumberFormat="1" applyFill="1" applyBorder="1"/>
    <xf numFmtId="0" fontId="21" fillId="22" borderId="0" xfId="27" applyFill="1"/>
    <xf numFmtId="167" fontId="0" fillId="0" borderId="0" xfId="28" applyNumberFormat="1" applyFont="1" applyFill="1"/>
    <xf numFmtId="2" fontId="12" fillId="0" borderId="0" xfId="0" applyNumberFormat="1" applyFont="1" applyFill="1"/>
    <xf numFmtId="0" fontId="12" fillId="0" borderId="0" xfId="0" applyFont="1" applyFill="1"/>
    <xf numFmtId="9" fontId="18" fillId="0" borderId="0" xfId="0" applyNumberFormat="1" applyFont="1" applyFill="1"/>
    <xf numFmtId="0" fontId="7" fillId="11" borderId="0" xfId="0" applyFont="1" applyFill="1"/>
    <xf numFmtId="0" fontId="25" fillId="11" borderId="0" xfId="0" applyFont="1" applyFill="1"/>
    <xf numFmtId="0" fontId="0" fillId="26" borderId="0" xfId="0" applyFill="1" applyAlignment="1">
      <alignment horizontal="center" vertical="center"/>
    </xf>
    <xf numFmtId="0" fontId="18" fillId="22" borderId="23" xfId="0" applyFont="1" applyFill="1" applyBorder="1"/>
    <xf numFmtId="0" fontId="18" fillId="22" borderId="24" xfId="0" applyFont="1" applyFill="1" applyBorder="1"/>
    <xf numFmtId="0" fontId="18" fillId="22" borderId="25" xfId="0" applyFont="1" applyFill="1" applyBorder="1"/>
    <xf numFmtId="0" fontId="0" fillId="15" borderId="26" xfId="0" applyFill="1" applyBorder="1"/>
    <xf numFmtId="164" fontId="0" fillId="15" borderId="27" xfId="0" applyNumberFormat="1" applyFill="1" applyBorder="1"/>
    <xf numFmtId="164" fontId="12" fillId="15" borderId="0" xfId="0" applyNumberFormat="1" applyFont="1" applyFill="1"/>
    <xf numFmtId="164" fontId="12" fillId="15" borderId="27" xfId="0" applyNumberFormat="1" applyFont="1" applyFill="1" applyBorder="1"/>
    <xf numFmtId="0" fontId="0" fillId="15" borderId="19" xfId="0" applyFill="1" applyBorder="1"/>
    <xf numFmtId="0" fontId="0" fillId="15" borderId="28" xfId="0" applyFill="1" applyBorder="1"/>
    <xf numFmtId="164" fontId="0" fillId="15" borderId="28" xfId="0" applyNumberFormat="1" applyFill="1" applyBorder="1"/>
    <xf numFmtId="164" fontId="0" fillId="15" borderId="20" xfId="0" applyNumberFormat="1" applyFill="1" applyBorder="1"/>
    <xf numFmtId="164" fontId="18" fillId="15" borderId="0" xfId="0" applyNumberFormat="1" applyFont="1" applyFill="1"/>
    <xf numFmtId="0" fontId="0" fillId="14" borderId="26" xfId="0" applyFill="1" applyBorder="1"/>
    <xf numFmtId="164" fontId="19" fillId="15" borderId="0" xfId="0" applyNumberFormat="1" applyFont="1" applyFill="1"/>
    <xf numFmtId="0" fontId="3" fillId="15" borderId="26" xfId="0" applyFont="1" applyFill="1" applyBorder="1" applyAlignment="1">
      <alignment horizontal="left"/>
    </xf>
    <xf numFmtId="0" fontId="18" fillId="15" borderId="26" xfId="0" applyFont="1" applyFill="1" applyBorder="1"/>
    <xf numFmtId="170" fontId="0" fillId="15" borderId="0" xfId="31" applyNumberFormat="1" applyFont="1" applyFill="1" applyBorder="1"/>
    <xf numFmtId="0" fontId="12" fillId="15" borderId="27" xfId="0" applyFont="1" applyFill="1" applyBorder="1"/>
    <xf numFmtId="0" fontId="18" fillId="21" borderId="23" xfId="0" applyFont="1" applyFill="1" applyBorder="1"/>
    <xf numFmtId="0" fontId="18" fillId="21" borderId="24" xfId="0" applyFont="1" applyFill="1" applyBorder="1"/>
    <xf numFmtId="0" fontId="18" fillId="21" borderId="25" xfId="0" applyFont="1" applyFill="1" applyBorder="1"/>
    <xf numFmtId="0" fontId="12" fillId="15" borderId="19" xfId="0" applyFont="1" applyFill="1" applyBorder="1"/>
    <xf numFmtId="0" fontId="12" fillId="15" borderId="20" xfId="0" applyFont="1" applyFill="1" applyBorder="1"/>
    <xf numFmtId="0" fontId="0" fillId="15" borderId="27" xfId="0" applyFill="1" applyBorder="1"/>
    <xf numFmtId="2" fontId="18" fillId="15" borderId="0" xfId="0" applyNumberFormat="1" applyFont="1" applyFill="1"/>
    <xf numFmtId="0" fontId="12" fillId="15" borderId="26" xfId="0" applyFont="1" applyFill="1" applyBorder="1"/>
    <xf numFmtId="0" fontId="0" fillId="15" borderId="20" xfId="0" applyFill="1" applyBorder="1"/>
    <xf numFmtId="9" fontId="0" fillId="15" borderId="28" xfId="26" applyFont="1" applyFill="1" applyBorder="1"/>
    <xf numFmtId="0" fontId="3" fillId="15" borderId="26" xfId="0" applyFont="1" applyFill="1" applyBorder="1"/>
    <xf numFmtId="0" fontId="12" fillId="15" borderId="23" xfId="0" applyFont="1" applyFill="1" applyBorder="1"/>
    <xf numFmtId="0" fontId="12" fillId="15" borderId="24" xfId="0" applyFont="1" applyFill="1" applyBorder="1"/>
    <xf numFmtId="0" fontId="12" fillId="15" borderId="25" xfId="0" applyFont="1" applyFill="1" applyBorder="1"/>
    <xf numFmtId="0" fontId="27" fillId="15" borderId="0" xfId="32" applyNumberFormat="1" applyFill="1" applyAlignment="1">
      <alignment horizontal="center" vertical="top"/>
    </xf>
    <xf numFmtId="2" fontId="27" fillId="15" borderId="0" xfId="32" applyNumberFormat="1" applyFill="1" applyAlignment="1">
      <alignment horizontal="center" vertical="top" wrapText="1"/>
    </xf>
    <xf numFmtId="0" fontId="27" fillId="15" borderId="0" xfId="32" applyFill="1" applyAlignment="1">
      <alignment horizontal="center" vertical="top"/>
    </xf>
    <xf numFmtId="0" fontId="27" fillId="15" borderId="0" xfId="32" applyNumberFormat="1" applyFill="1" applyAlignment="1">
      <alignment horizontal="right"/>
    </xf>
    <xf numFmtId="2" fontId="27" fillId="15" borderId="0" xfId="32" applyNumberFormat="1" applyFill="1" applyAlignment="1">
      <alignment horizontal="right"/>
    </xf>
    <xf numFmtId="0" fontId="27" fillId="15" borderId="0" xfId="32" applyFill="1" applyAlignment="1">
      <alignment horizontal="right"/>
    </xf>
    <xf numFmtId="0" fontId="19" fillId="15" borderId="26" xfId="0" applyFont="1" applyFill="1" applyBorder="1"/>
    <xf numFmtId="0" fontId="12" fillId="15" borderId="28" xfId="0" applyFont="1" applyFill="1" applyBorder="1"/>
    <xf numFmtId="0" fontId="19" fillId="15" borderId="19" xfId="0" applyFont="1" applyFill="1" applyBorder="1"/>
    <xf numFmtId="3" fontId="0" fillId="15" borderId="28" xfId="0" applyNumberFormat="1" applyFill="1" applyBorder="1"/>
    <xf numFmtId="0" fontId="18" fillId="15" borderId="0" xfId="0" applyFont="1" applyFill="1" applyAlignment="1">
      <alignment horizontal="left" indent="1"/>
    </xf>
    <xf numFmtId="0" fontId="19" fillId="15" borderId="0" xfId="0" applyFont="1" applyFill="1" applyAlignment="1">
      <alignment vertical="top"/>
    </xf>
    <xf numFmtId="0" fontId="19" fillId="15" borderId="26" xfId="0" applyFont="1" applyFill="1" applyBorder="1" applyAlignment="1">
      <alignment vertical="top"/>
    </xf>
    <xf numFmtId="1" fontId="18" fillId="15" borderId="0" xfId="0" applyNumberFormat="1" applyFont="1" applyFill="1"/>
    <xf numFmtId="0" fontId="19" fillId="15" borderId="0" xfId="0" applyFont="1" applyFill="1" applyAlignment="1">
      <alignment horizontal="left" wrapText="1"/>
    </xf>
    <xf numFmtId="171" fontId="18" fillId="15" borderId="28" xfId="31" applyNumberFormat="1" applyFont="1" applyFill="1" applyBorder="1"/>
    <xf numFmtId="171" fontId="0" fillId="15" borderId="0" xfId="31" applyNumberFormat="1" applyFont="1" applyFill="1" applyBorder="1"/>
    <xf numFmtId="0" fontId="18" fillId="15" borderId="28" xfId="31" applyNumberFormat="1" applyFont="1" applyFill="1" applyBorder="1"/>
    <xf numFmtId="170" fontId="0" fillId="15" borderId="28" xfId="31" applyNumberFormat="1" applyFont="1" applyFill="1" applyBorder="1"/>
    <xf numFmtId="0" fontId="19" fillId="15" borderId="28" xfId="0" applyFont="1" applyFill="1" applyBorder="1"/>
    <xf numFmtId="164" fontId="0" fillId="15" borderId="26" xfId="0" applyNumberFormat="1" applyFill="1" applyBorder="1"/>
    <xf numFmtId="164" fontId="0" fillId="15" borderId="28" xfId="31" applyNumberFormat="1" applyFont="1" applyFill="1" applyBorder="1"/>
    <xf numFmtId="9" fontId="19" fillId="15" borderId="26" xfId="26" applyFont="1" applyFill="1" applyBorder="1"/>
    <xf numFmtId="164" fontId="11" fillId="15" borderId="0" xfId="0" applyNumberFormat="1" applyFont="1" applyFill="1"/>
    <xf numFmtId="9" fontId="12" fillId="15" borderId="26" xfId="26" applyFont="1" applyFill="1" applyBorder="1"/>
    <xf numFmtId="9" fontId="12" fillId="15" borderId="19" xfId="26" applyFont="1" applyFill="1" applyBorder="1"/>
    <xf numFmtId="164" fontId="0" fillId="15" borderId="19" xfId="0" applyNumberFormat="1" applyFill="1" applyBorder="1"/>
    <xf numFmtId="0" fontId="18" fillId="31" borderId="0" xfId="0" applyFont="1" applyFill="1"/>
    <xf numFmtId="0" fontId="0" fillId="31" borderId="0" xfId="0" applyFill="1"/>
    <xf numFmtId="164" fontId="18" fillId="31" borderId="29" xfId="0" applyNumberFormat="1" applyFont="1" applyFill="1" applyBorder="1"/>
    <xf numFmtId="9" fontId="0" fillId="0" borderId="0" xfId="0" applyNumberFormat="1"/>
    <xf numFmtId="167" fontId="0" fillId="0" borderId="0" xfId="28" applyNumberFormat="1" applyFont="1"/>
    <xf numFmtId="0" fontId="18" fillId="0" borderId="8" xfId="0" applyFont="1" applyFill="1" applyBorder="1"/>
    <xf numFmtId="0" fontId="18" fillId="0" borderId="0" xfId="0" applyFont="1" applyFill="1" applyBorder="1"/>
    <xf numFmtId="0" fontId="18" fillId="0" borderId="0" xfId="0" applyFont="1" applyBorder="1"/>
    <xf numFmtId="166" fontId="0" fillId="0" borderId="0" xfId="0" applyNumberFormat="1" applyBorder="1"/>
    <xf numFmtId="0" fontId="18" fillId="27" borderId="0" xfId="0" applyFont="1" applyFill="1"/>
    <xf numFmtId="0" fontId="0" fillId="0" borderId="0" xfId="0" applyFill="1" applyBorder="1"/>
    <xf numFmtId="0" fontId="0" fillId="0" borderId="8" xfId="0" applyFill="1" applyBorder="1"/>
    <xf numFmtId="0" fontId="0" fillId="0" borderId="0" xfId="0" applyFont="1"/>
    <xf numFmtId="166" fontId="0" fillId="0" borderId="8" xfId="0" applyNumberFormat="1" applyFill="1" applyBorder="1"/>
    <xf numFmtId="0" fontId="0" fillId="21" borderId="0" xfId="0" applyFont="1" applyFill="1"/>
    <xf numFmtId="9" fontId="0" fillId="21" borderId="0" xfId="0" applyNumberFormat="1" applyFill="1"/>
    <xf numFmtId="167" fontId="0" fillId="21" borderId="0" xfId="28" applyNumberFormat="1" applyFont="1" applyFill="1"/>
    <xf numFmtId="0" fontId="0" fillId="25" borderId="0" xfId="0" applyFont="1" applyFill="1"/>
    <xf numFmtId="9" fontId="0" fillId="25" borderId="0" xfId="0" applyNumberFormat="1" applyFill="1"/>
    <xf numFmtId="44" fontId="0" fillId="0" borderId="8" xfId="0" applyNumberFormat="1" applyFill="1" applyBorder="1"/>
    <xf numFmtId="0" fontId="0" fillId="26" borderId="0" xfId="0" applyFont="1" applyFill="1"/>
    <xf numFmtId="167" fontId="0" fillId="26" borderId="0" xfId="0" applyNumberFormat="1" applyFill="1"/>
    <xf numFmtId="9" fontId="0" fillId="26" borderId="0" xfId="26" applyFont="1" applyFill="1"/>
    <xf numFmtId="0" fontId="7" fillId="33" borderId="0" xfId="0" applyFont="1" applyFill="1"/>
    <xf numFmtId="0" fontId="26" fillId="33" borderId="0" xfId="0" applyFont="1" applyFill="1"/>
    <xf numFmtId="44" fontId="0" fillId="27" borderId="0" xfId="25" applyFont="1" applyFill="1"/>
    <xf numFmtId="0" fontId="18" fillId="23" borderId="0" xfId="0" applyFont="1" applyFill="1"/>
    <xf numFmtId="167" fontId="18" fillId="21" borderId="0" xfId="28" applyNumberFormat="1" applyFont="1" applyFill="1"/>
    <xf numFmtId="0" fontId="28" fillId="11" borderId="0" xfId="0" applyFont="1" applyFill="1"/>
    <xf numFmtId="167" fontId="0" fillId="32" borderId="0" xfId="28" applyNumberFormat="1" applyFont="1" applyFill="1"/>
    <xf numFmtId="0" fontId="0" fillId="32" borderId="0" xfId="0" applyFill="1"/>
    <xf numFmtId="0" fontId="29" fillId="11" borderId="0" xfId="0" applyFont="1" applyFill="1"/>
    <xf numFmtId="0" fontId="30" fillId="11" borderId="0" xfId="0" applyFont="1" applyFill="1"/>
    <xf numFmtId="9" fontId="0" fillId="32" borderId="0" xfId="0" applyNumberFormat="1" applyFill="1"/>
    <xf numFmtId="49" fontId="0" fillId="0" borderId="0" xfId="0" applyNumberFormat="1"/>
    <xf numFmtId="2" fontId="0" fillId="0" borderId="8" xfId="0" applyNumberFormat="1" applyBorder="1"/>
    <xf numFmtId="9" fontId="0" fillId="21" borderId="0" xfId="26" applyFont="1" applyFill="1"/>
    <xf numFmtId="0" fontId="0" fillId="0" borderId="0" xfId="0" applyFill="1" applyAlignment="1">
      <alignment wrapText="1"/>
    </xf>
    <xf numFmtId="0" fontId="0" fillId="29" borderId="0" xfId="0" applyFill="1"/>
    <xf numFmtId="0" fontId="0" fillId="30" borderId="0" xfId="0" applyFill="1"/>
    <xf numFmtId="0" fontId="18" fillId="30" borderId="0" xfId="0" applyFont="1" applyFill="1" applyBorder="1"/>
    <xf numFmtId="166" fontId="18" fillId="15" borderId="8" xfId="0" applyNumberFormat="1" applyFont="1" applyFill="1" applyBorder="1"/>
    <xf numFmtId="0" fontId="18" fillId="21" borderId="8" xfId="0" applyFont="1" applyFill="1" applyBorder="1" applyAlignment="1">
      <alignment wrapText="1"/>
    </xf>
    <xf numFmtId="0" fontId="7" fillId="11" borderId="8" xfId="0" applyFont="1" applyFill="1" applyBorder="1"/>
    <xf numFmtId="166" fontId="0" fillId="0" borderId="8" xfId="28" applyNumberFormat="1" applyFont="1" applyFill="1" applyBorder="1"/>
    <xf numFmtId="0" fontId="0" fillId="0" borderId="8" xfId="0" applyFont="1" applyFill="1" applyBorder="1"/>
    <xf numFmtId="43" fontId="0" fillId="0" borderId="8" xfId="28" applyFont="1" applyFill="1" applyBorder="1"/>
    <xf numFmtId="9" fontId="0" fillId="0" borderId="0" xfId="26" applyFont="1" applyFill="1" applyBorder="1"/>
    <xf numFmtId="43" fontId="0" fillId="15" borderId="0" xfId="28" applyFont="1" applyFill="1"/>
    <xf numFmtId="43" fontId="0" fillId="15" borderId="0" xfId="0" applyNumberFormat="1" applyFill="1"/>
    <xf numFmtId="0" fontId="0" fillId="0" borderId="8" xfId="0" applyFill="1" applyBorder="1" applyAlignment="1">
      <alignment wrapText="1"/>
    </xf>
    <xf numFmtId="167" fontId="0" fillId="26" borderId="8" xfId="28" applyNumberFormat="1" applyFont="1" applyFill="1" applyBorder="1"/>
    <xf numFmtId="167" fontId="0" fillId="0" borderId="8" xfId="28" applyNumberFormat="1" applyFont="1" applyFill="1" applyBorder="1"/>
    <xf numFmtId="0" fontId="18" fillId="22" borderId="8" xfId="0" applyFont="1" applyFill="1" applyBorder="1" applyAlignment="1">
      <alignment wrapText="1"/>
    </xf>
    <xf numFmtId="0" fontId="26" fillId="11" borderId="0" xfId="0" applyFont="1" applyFill="1"/>
    <xf numFmtId="166" fontId="18" fillId="23" borderId="8" xfId="28" applyNumberFormat="1" applyFont="1" applyFill="1" applyBorder="1"/>
    <xf numFmtId="167" fontId="18" fillId="23" borderId="8" xfId="28" applyNumberFormat="1" applyFont="1" applyFill="1" applyBorder="1"/>
    <xf numFmtId="166" fontId="18" fillId="23" borderId="8" xfId="0" applyNumberFormat="1" applyFont="1" applyFill="1" applyBorder="1"/>
    <xf numFmtId="0" fontId="18" fillId="26" borderId="8" xfId="0" applyFont="1" applyFill="1" applyBorder="1" applyAlignment="1">
      <alignment wrapText="1"/>
    </xf>
    <xf numFmtId="167" fontId="18" fillId="26" borderId="8" xfId="28" applyNumberFormat="1" applyFont="1" applyFill="1" applyBorder="1"/>
    <xf numFmtId="0" fontId="0" fillId="0" borderId="0" xfId="0" applyFill="1" applyBorder="1" applyAlignment="1">
      <alignment wrapText="1"/>
    </xf>
    <xf numFmtId="44" fontId="0" fillId="15" borderId="8" xfId="25" applyNumberFormat="1" applyFont="1" applyFill="1" applyBorder="1"/>
    <xf numFmtId="167" fontId="18" fillId="15" borderId="0" xfId="28" applyNumberFormat="1" applyFont="1" applyFill="1" applyBorder="1"/>
    <xf numFmtId="166" fontId="0" fillId="22" borderId="8" xfId="28" applyNumberFormat="1" applyFont="1" applyFill="1" applyBorder="1"/>
    <xf numFmtId="0" fontId="0" fillId="15" borderId="21" xfId="0" applyFill="1" applyBorder="1" applyAlignment="1">
      <alignment vertical="top" wrapText="1"/>
    </xf>
    <xf numFmtId="9" fontId="0" fillId="25" borderId="0" xfId="0" applyNumberFormat="1" applyFill="1" applyAlignment="1">
      <alignment wrapText="1"/>
    </xf>
    <xf numFmtId="9" fontId="0" fillId="0" borderId="0" xfId="0" applyNumberFormat="1" applyBorder="1"/>
    <xf numFmtId="43" fontId="0" fillId="0" borderId="0" xfId="28" applyFont="1" applyBorder="1"/>
    <xf numFmtId="43" fontId="18" fillId="15" borderId="0" xfId="28" applyNumberFormat="1" applyFont="1" applyFill="1"/>
    <xf numFmtId="43" fontId="0" fillId="15" borderId="0" xfId="28" applyNumberFormat="1" applyFont="1" applyFill="1"/>
    <xf numFmtId="0" fontId="21" fillId="0" borderId="0" xfId="27" applyBorder="1"/>
    <xf numFmtId="43" fontId="18" fillId="15" borderId="0" xfId="28" applyNumberFormat="1" applyFont="1" applyFill="1" applyBorder="1"/>
    <xf numFmtId="43" fontId="1" fillId="15" borderId="0" xfId="28" applyNumberFormat="1" applyFont="1" applyFill="1" applyBorder="1"/>
    <xf numFmtId="9" fontId="18" fillId="21" borderId="0" xfId="26" applyFont="1" applyFill="1" applyBorder="1"/>
    <xf numFmtId="0" fontId="0" fillId="27" borderId="0" xfId="0" applyFill="1" applyAlignment="1">
      <alignment horizontal="center" vertical="center"/>
    </xf>
    <xf numFmtId="0" fontId="18" fillId="29" borderId="0" xfId="0" applyFont="1" applyFill="1"/>
    <xf numFmtId="9" fontId="18" fillId="23" borderId="8" xfId="26" applyFont="1" applyFill="1" applyBorder="1"/>
    <xf numFmtId="9" fontId="18" fillId="26" borderId="8" xfId="26" applyFont="1" applyFill="1" applyBorder="1"/>
    <xf numFmtId="0" fontId="0" fillId="0" borderId="0" xfId="0" applyFill="1" applyAlignment="1">
      <alignment vertical="top"/>
    </xf>
    <xf numFmtId="9" fontId="0" fillId="0" borderId="0" xfId="0" applyNumberFormat="1" applyFill="1" applyAlignment="1">
      <alignment vertical="top"/>
    </xf>
    <xf numFmtId="0" fontId="0" fillId="0" borderId="0" xfId="0" applyFont="1" applyFill="1" applyAlignment="1">
      <alignment vertical="top"/>
    </xf>
    <xf numFmtId="0" fontId="21" fillId="0" borderId="0" xfId="27"/>
    <xf numFmtId="166" fontId="0" fillId="15" borderId="0" xfId="0" applyNumberFormat="1" applyFill="1" applyBorder="1"/>
    <xf numFmtId="166" fontId="18" fillId="15" borderId="0" xfId="0" applyNumberFormat="1" applyFont="1" applyFill="1" applyBorder="1"/>
    <xf numFmtId="9" fontId="12" fillId="0" borderId="8" xfId="0" applyNumberFormat="1" applyFont="1" applyFill="1" applyBorder="1"/>
    <xf numFmtId="44" fontId="18" fillId="0" borderId="8" xfId="25" applyFont="1" applyFill="1" applyBorder="1"/>
    <xf numFmtId="0" fontId="0" fillId="15" borderId="0" xfId="0" applyFont="1" applyFill="1" applyBorder="1"/>
    <xf numFmtId="9" fontId="0" fillId="15" borderId="0" xfId="26" applyFont="1" applyFill="1" applyBorder="1"/>
    <xf numFmtId="0" fontId="8" fillId="15" borderId="0" xfId="0" applyFont="1" applyFill="1"/>
    <xf numFmtId="165" fontId="0" fillId="0" borderId="0" xfId="0" applyNumberFormat="1" applyFill="1"/>
    <xf numFmtId="166" fontId="0" fillId="0" borderId="0" xfId="28" applyNumberFormat="1" applyFont="1" applyFill="1" applyBorder="1"/>
    <xf numFmtId="43" fontId="0" fillId="0" borderId="0" xfId="28" applyFont="1" applyFill="1" applyBorder="1"/>
    <xf numFmtId="173" fontId="0" fillId="0" borderId="8" xfId="0" applyNumberFormat="1" applyFill="1" applyBorder="1"/>
    <xf numFmtId="173" fontId="18" fillId="23" borderId="8" xfId="0" applyNumberFormat="1" applyFont="1" applyFill="1" applyBorder="1"/>
    <xf numFmtId="44" fontId="0" fillId="0" borderId="8" xfId="25" applyFont="1" applyFill="1" applyBorder="1"/>
    <xf numFmtId="44" fontId="32" fillId="28" borderId="8" xfId="0" applyNumberFormat="1" applyFont="1" applyFill="1" applyBorder="1"/>
    <xf numFmtId="10" fontId="0" fillId="0" borderId="0" xfId="26" applyNumberFormat="1" applyFont="1"/>
    <xf numFmtId="9" fontId="0" fillId="15" borderId="0" xfId="0" applyNumberFormat="1" applyFill="1" applyBorder="1"/>
    <xf numFmtId="3" fontId="33" fillId="15" borderId="0" xfId="0" applyNumberFormat="1" applyFont="1" applyFill="1" applyBorder="1"/>
    <xf numFmtId="167" fontId="0" fillId="15" borderId="0" xfId="28" applyNumberFormat="1" applyFont="1" applyFill="1" applyBorder="1"/>
    <xf numFmtId="44" fontId="0" fillId="15" borderId="0" xfId="25" applyNumberFormat="1" applyFont="1" applyFill="1"/>
    <xf numFmtId="174" fontId="12" fillId="15" borderId="0" xfId="0" applyNumberFormat="1" applyFont="1" applyFill="1"/>
    <xf numFmtId="174" fontId="0" fillId="15" borderId="0" xfId="0" applyNumberFormat="1" applyFill="1"/>
    <xf numFmtId="174" fontId="0" fillId="15" borderId="0" xfId="25" applyNumberFormat="1" applyFont="1" applyFill="1"/>
    <xf numFmtId="0" fontId="18" fillId="0" borderId="0" xfId="0" applyFont="1" applyFill="1" applyBorder="1" applyAlignment="1">
      <alignment wrapText="1"/>
    </xf>
    <xf numFmtId="0" fontId="8" fillId="0" borderId="0" xfId="0" applyFont="1" applyFill="1"/>
    <xf numFmtId="8" fontId="0" fillId="15" borderId="0" xfId="0" applyNumberFormat="1" applyFill="1"/>
    <xf numFmtId="0" fontId="3" fillId="28" borderId="8" xfId="0" applyFont="1" applyFill="1" applyBorder="1" applyAlignment="1">
      <alignment wrapText="1"/>
    </xf>
    <xf numFmtId="9" fontId="12" fillId="0" borderId="8" xfId="26" applyFont="1" applyFill="1" applyBorder="1"/>
    <xf numFmtId="175" fontId="18" fillId="15" borderId="0" xfId="25" applyNumberFormat="1" applyFont="1" applyFill="1"/>
    <xf numFmtId="0" fontId="12" fillId="0" borderId="0" xfId="0" applyFont="1" applyFill="1" applyBorder="1" applyAlignment="1">
      <alignment vertical="center"/>
    </xf>
    <xf numFmtId="0" fontId="12" fillId="0" borderId="0" xfId="0" applyFont="1" applyFill="1" applyBorder="1" applyAlignment="1">
      <alignment wrapText="1"/>
    </xf>
    <xf numFmtId="44" fontId="12" fillId="0" borderId="0" xfId="25" applyFont="1" applyFill="1" applyBorder="1"/>
    <xf numFmtId="9" fontId="12" fillId="0" borderId="0" xfId="26" applyFont="1" applyFill="1"/>
    <xf numFmtId="44" fontId="12" fillId="0" borderId="0" xfId="25" applyFont="1" applyFill="1"/>
    <xf numFmtId="9" fontId="12" fillId="0" borderId="0" xfId="0" applyNumberFormat="1" applyFont="1" applyFill="1"/>
    <xf numFmtId="44" fontId="12" fillId="0" borderId="0" xfId="0" applyNumberFormat="1" applyFont="1" applyFill="1"/>
    <xf numFmtId="165" fontId="0" fillId="25" borderId="0" xfId="0" applyNumberFormat="1" applyFill="1"/>
    <xf numFmtId="0" fontId="34" fillId="0" borderId="0" xfId="0" applyFont="1" applyFill="1"/>
    <xf numFmtId="0" fontId="18" fillId="21" borderId="21" xfId="0" applyFont="1" applyFill="1" applyBorder="1" applyAlignment="1">
      <alignment wrapText="1"/>
    </xf>
    <xf numFmtId="166" fontId="0" fillId="0" borderId="11" xfId="0" applyNumberFormat="1" applyFill="1" applyBorder="1"/>
    <xf numFmtId="0" fontId="18" fillId="0" borderId="26" xfId="0" applyFont="1" applyFill="1" applyBorder="1" applyAlignment="1">
      <alignment wrapText="1"/>
    </xf>
    <xf numFmtId="44" fontId="18" fillId="26" borderId="8" xfId="25" applyFont="1" applyFill="1" applyBorder="1"/>
    <xf numFmtId="9" fontId="0" fillId="15" borderId="0" xfId="26" applyNumberFormat="1" applyFont="1" applyFill="1" applyBorder="1"/>
    <xf numFmtId="0" fontId="0" fillId="0" borderId="0" xfId="0" applyFill="1" applyBorder="1" applyAlignment="1">
      <alignment vertical="center"/>
    </xf>
    <xf numFmtId="164" fontId="0" fillId="0" borderId="0" xfId="0" applyNumberFormat="1" applyFill="1"/>
    <xf numFmtId="174" fontId="0" fillId="0" borderId="0" xfId="0" applyNumberFormat="1" applyFill="1"/>
    <xf numFmtId="174" fontId="12" fillId="0" borderId="0" xfId="0" applyNumberFormat="1" applyFont="1" applyFill="1"/>
    <xf numFmtId="175" fontId="0" fillId="15" borderId="0" xfId="25" applyNumberFormat="1" applyFont="1" applyFill="1"/>
    <xf numFmtId="0" fontId="0" fillId="0" borderId="0" xfId="0" applyAlignment="1">
      <alignment horizontal="right"/>
    </xf>
    <xf numFmtId="0" fontId="0" fillId="0" borderId="0" xfId="0" applyFill="1" applyAlignment="1">
      <alignment horizontal="right"/>
    </xf>
    <xf numFmtId="164" fontId="0" fillId="21" borderId="0" xfId="0" applyNumberFormat="1" applyFill="1" applyAlignment="1">
      <alignment horizontal="right"/>
    </xf>
    <xf numFmtId="0" fontId="0" fillId="21" borderId="0" xfId="0" applyFill="1" applyAlignment="1">
      <alignment horizontal="right"/>
    </xf>
    <xf numFmtId="172" fontId="0" fillId="0" borderId="0" xfId="28" applyNumberFormat="1" applyFont="1" applyAlignment="1">
      <alignment horizontal="right"/>
    </xf>
    <xf numFmtId="0" fontId="0" fillId="15" borderId="21" xfId="0" applyFill="1" applyBorder="1"/>
    <xf numFmtId="0" fontId="18" fillId="15" borderId="22" xfId="0" applyFont="1" applyFill="1" applyBorder="1"/>
    <xf numFmtId="0" fontId="18" fillId="23" borderId="0" xfId="0" applyFont="1" applyFill="1" applyBorder="1"/>
    <xf numFmtId="175" fontId="0" fillId="15" borderId="0" xfId="0" applyNumberFormat="1" applyFill="1" applyBorder="1"/>
    <xf numFmtId="175" fontId="0" fillId="15" borderId="0" xfId="25" applyNumberFormat="1" applyFont="1" applyFill="1" applyBorder="1"/>
    <xf numFmtId="167" fontId="0" fillId="15" borderId="0" xfId="0" applyNumberFormat="1" applyFill="1" applyBorder="1"/>
    <xf numFmtId="175" fontId="0" fillId="15" borderId="0" xfId="0" applyNumberFormat="1" applyFill="1"/>
    <xf numFmtId="44" fontId="0" fillId="15" borderId="0" xfId="0" applyNumberFormat="1" applyFill="1" applyBorder="1"/>
    <xf numFmtId="44" fontId="0" fillId="15" borderId="0" xfId="25" applyNumberFormat="1" applyFont="1" applyFill="1" applyBorder="1"/>
    <xf numFmtId="44" fontId="35" fillId="27" borderId="0" xfId="25" applyFont="1" applyFill="1" applyBorder="1"/>
    <xf numFmtId="9" fontId="35" fillId="15" borderId="0" xfId="26" applyFont="1" applyFill="1"/>
    <xf numFmtId="174" fontId="35" fillId="15" borderId="0" xfId="25" applyNumberFormat="1" applyFont="1" applyFill="1"/>
    <xf numFmtId="44" fontId="35" fillId="15" borderId="0" xfId="25" applyFont="1" applyFill="1"/>
    <xf numFmtId="174" fontId="18" fillId="26" borderId="0" xfId="25" applyNumberFormat="1" applyFont="1" applyFill="1"/>
    <xf numFmtId="0" fontId="0" fillId="20" borderId="0" xfId="0" applyFill="1" applyAlignment="1">
      <alignment vertical="center"/>
    </xf>
    <xf numFmtId="0" fontId="0" fillId="15" borderId="8" xfId="0" applyFill="1" applyBorder="1" applyAlignment="1">
      <alignment vertical="center" wrapText="1"/>
    </xf>
    <xf numFmtId="44" fontId="0" fillId="15" borderId="11" xfId="25" applyFont="1" applyFill="1" applyBorder="1" applyAlignment="1">
      <alignment vertical="center"/>
    </xf>
    <xf numFmtId="166" fontId="0" fillId="15" borderId="8" xfId="26" applyNumberFormat="1" applyFont="1" applyFill="1" applyBorder="1" applyAlignment="1">
      <alignment vertical="center"/>
    </xf>
    <xf numFmtId="166" fontId="0" fillId="15" borderId="11" xfId="0" quotePrefix="1" applyNumberFormat="1" applyFill="1" applyBorder="1" applyAlignment="1">
      <alignment vertical="center"/>
    </xf>
    <xf numFmtId="0" fontId="0" fillId="15" borderId="0" xfId="0" applyFill="1" applyAlignment="1">
      <alignment vertical="center"/>
    </xf>
    <xf numFmtId="0" fontId="0" fillId="15" borderId="21" xfId="0" applyFill="1" applyBorder="1" applyAlignment="1">
      <alignment vertical="center" wrapText="1"/>
    </xf>
    <xf numFmtId="0" fontId="0" fillId="0" borderId="8" xfId="0" applyFill="1" applyBorder="1" applyAlignment="1">
      <alignment vertical="center" wrapText="1"/>
    </xf>
    <xf numFmtId="0" fontId="0" fillId="29" borderId="0" xfId="0" applyFill="1" applyAlignment="1">
      <alignment vertical="center"/>
    </xf>
    <xf numFmtId="166" fontId="18" fillId="30" borderId="8" xfId="0" applyNumberFormat="1" applyFont="1" applyFill="1" applyBorder="1" applyAlignment="1">
      <alignment vertical="center"/>
    </xf>
    <xf numFmtId="0" fontId="0" fillId="15" borderId="8" xfId="0" applyFont="1" applyFill="1" applyBorder="1" applyAlignment="1">
      <alignment vertical="center"/>
    </xf>
    <xf numFmtId="0" fontId="0" fillId="0" borderId="8" xfId="0" applyBorder="1" applyAlignment="1">
      <alignment vertical="center"/>
    </xf>
    <xf numFmtId="0" fontId="0" fillId="0" borderId="0" xfId="0" applyAlignment="1">
      <alignment vertical="center"/>
    </xf>
    <xf numFmtId="0" fontId="18" fillId="15" borderId="0" xfId="0" applyFont="1" applyFill="1" applyAlignment="1">
      <alignment vertical="center"/>
    </xf>
    <xf numFmtId="0" fontId="18" fillId="29" borderId="0" xfId="0" applyFont="1" applyFill="1" applyAlignment="1">
      <alignment vertical="center"/>
    </xf>
    <xf numFmtId="0" fontId="0" fillId="15" borderId="11" xfId="0" applyFill="1" applyBorder="1" applyAlignment="1">
      <alignment vertical="center" wrapText="1"/>
    </xf>
    <xf numFmtId="44" fontId="35" fillId="15" borderId="11" xfId="25" applyFont="1" applyFill="1" applyBorder="1" applyAlignment="1">
      <alignment vertical="center"/>
    </xf>
    <xf numFmtId="0" fontId="0" fillId="15" borderId="31" xfId="0" applyFill="1" applyBorder="1" applyAlignment="1">
      <alignment vertical="center" wrapText="1"/>
    </xf>
    <xf numFmtId="0" fontId="0" fillId="0" borderId="8" xfId="0" applyFill="1" applyBorder="1" applyAlignment="1">
      <alignment vertical="center"/>
    </xf>
    <xf numFmtId="0" fontId="0" fillId="15" borderId="0" xfId="0" applyFill="1" applyAlignment="1">
      <alignment vertical="center" wrapText="1"/>
    </xf>
    <xf numFmtId="173" fontId="0" fillId="25" borderId="0" xfId="0" applyNumberFormat="1" applyFill="1"/>
    <xf numFmtId="0" fontId="0" fillId="22" borderId="0" xfId="0" applyFill="1" applyAlignment="1">
      <alignment vertical="center"/>
    </xf>
    <xf numFmtId="0" fontId="0" fillId="22" borderId="0" xfId="0" applyFill="1" applyAlignment="1">
      <alignment vertical="center" wrapText="1"/>
    </xf>
    <xf numFmtId="9" fontId="0" fillId="22" borderId="0" xfId="0" applyNumberFormat="1" applyFill="1" applyAlignment="1">
      <alignment vertical="center"/>
    </xf>
    <xf numFmtId="165" fontId="0" fillId="22" borderId="0" xfId="26" applyNumberFormat="1" applyFont="1" applyFill="1" applyAlignment="1">
      <alignment vertical="center"/>
    </xf>
    <xf numFmtId="164" fontId="12" fillId="22" borderId="0" xfId="0" applyNumberFormat="1" applyFont="1" applyFill="1" applyAlignment="1">
      <alignment vertical="center" wrapText="1"/>
    </xf>
    <xf numFmtId="0" fontId="21" fillId="22" borderId="0" xfId="27" applyFill="1" applyAlignment="1">
      <alignment vertical="center"/>
    </xf>
    <xf numFmtId="9" fontId="0" fillId="22" borderId="0" xfId="26" applyFont="1" applyFill="1" applyAlignment="1">
      <alignment vertical="center" wrapText="1"/>
    </xf>
    <xf numFmtId="0" fontId="0" fillId="25" borderId="0" xfId="0" applyFill="1" applyAlignment="1">
      <alignment vertical="center"/>
    </xf>
    <xf numFmtId="0" fontId="0" fillId="25" borderId="0" xfId="0" applyFill="1" applyAlignment="1">
      <alignment vertical="center" wrapText="1"/>
    </xf>
    <xf numFmtId="167" fontId="0" fillId="25" borderId="0" xfId="28" applyNumberFormat="1" applyFont="1" applyFill="1" applyAlignment="1">
      <alignment vertical="center"/>
    </xf>
    <xf numFmtId="0" fontId="21" fillId="25" borderId="0" xfId="27" applyFill="1" applyAlignment="1">
      <alignment vertical="center"/>
    </xf>
    <xf numFmtId="165" fontId="0" fillId="25" borderId="0" xfId="26" applyNumberFormat="1" applyFont="1" applyFill="1" applyAlignment="1">
      <alignment vertical="center"/>
    </xf>
    <xf numFmtId="0" fontId="0" fillId="23" borderId="0" xfId="0" applyFill="1" applyBorder="1" applyAlignment="1">
      <alignment vertical="center"/>
    </xf>
    <xf numFmtId="0" fontId="0" fillId="23" borderId="0" xfId="0" applyFont="1" applyFill="1" applyBorder="1" applyAlignment="1">
      <alignment vertical="center" wrapText="1"/>
    </xf>
    <xf numFmtId="10" fontId="0" fillId="23" borderId="0" xfId="26" applyNumberFormat="1" applyFont="1" applyFill="1" applyBorder="1" applyAlignment="1">
      <alignment vertical="center"/>
    </xf>
    <xf numFmtId="164" fontId="21" fillId="23" borderId="0" xfId="27" applyNumberFormat="1" applyFill="1" applyBorder="1" applyAlignment="1">
      <alignment vertical="center"/>
    </xf>
    <xf numFmtId="0" fontId="0" fillId="23" borderId="0" xfId="0" applyFont="1" applyFill="1" applyBorder="1" applyAlignment="1">
      <alignment vertical="center"/>
    </xf>
    <xf numFmtId="166" fontId="0" fillId="23" borderId="0" xfId="0" applyNumberFormat="1" applyFont="1" applyFill="1" applyBorder="1" applyAlignment="1">
      <alignment vertical="center"/>
    </xf>
    <xf numFmtId="164" fontId="18" fillId="23" borderId="0" xfId="0" applyNumberFormat="1" applyFont="1" applyFill="1" applyBorder="1" applyAlignment="1">
      <alignment vertical="center"/>
    </xf>
    <xf numFmtId="167" fontId="0" fillId="23" borderId="0" xfId="28" applyNumberFormat="1" applyFont="1" applyFill="1" applyBorder="1" applyAlignment="1">
      <alignment vertical="center"/>
    </xf>
    <xf numFmtId="0" fontId="0" fillId="23" borderId="0" xfId="0" applyFill="1" applyAlignment="1">
      <alignment vertical="center"/>
    </xf>
    <xf numFmtId="0" fontId="0" fillId="26" borderId="0" xfId="0" applyFill="1" applyAlignment="1">
      <alignment vertical="center"/>
    </xf>
    <xf numFmtId="0" fontId="0" fillId="26" borderId="0" xfId="0" applyFill="1" applyAlignment="1">
      <alignment vertical="center" wrapText="1"/>
    </xf>
    <xf numFmtId="166" fontId="0" fillId="26" borderId="0" xfId="28" applyNumberFormat="1" applyFont="1" applyFill="1" applyAlignment="1">
      <alignment vertical="center"/>
    </xf>
    <xf numFmtId="0" fontId="21" fillId="26" borderId="0" xfId="27" applyFill="1" applyAlignment="1">
      <alignment vertical="center"/>
    </xf>
    <xf numFmtId="167" fontId="0" fillId="26" borderId="0" xfId="28" applyNumberFormat="1" applyFont="1" applyFill="1" applyAlignment="1">
      <alignment vertical="center"/>
    </xf>
    <xf numFmtId="0" fontId="0" fillId="26" borderId="0" xfId="0" applyFont="1" applyFill="1" applyAlignment="1">
      <alignment vertical="center" wrapText="1"/>
    </xf>
    <xf numFmtId="166" fontId="1" fillId="26" borderId="0" xfId="28" applyNumberFormat="1" applyFont="1" applyFill="1" applyAlignment="1">
      <alignment vertical="center"/>
    </xf>
    <xf numFmtId="43" fontId="0" fillId="26" borderId="0" xfId="28" applyFont="1" applyFill="1" applyAlignment="1">
      <alignment vertical="center"/>
    </xf>
    <xf numFmtId="9" fontId="0" fillId="26" borderId="0" xfId="26" applyFont="1" applyFill="1" applyAlignment="1">
      <alignment vertical="center"/>
    </xf>
    <xf numFmtId="0" fontId="18" fillId="26" borderId="0" xfId="0" applyFont="1" applyFill="1" applyAlignment="1">
      <alignment vertical="center"/>
    </xf>
    <xf numFmtId="0" fontId="18" fillId="26" borderId="0" xfId="0" applyFont="1" applyFill="1" applyAlignment="1">
      <alignment vertical="center" wrapText="1"/>
    </xf>
    <xf numFmtId="166" fontId="18" fillId="26" borderId="0" xfId="28" applyNumberFormat="1" applyFont="1" applyFill="1" applyAlignment="1">
      <alignment vertical="center"/>
    </xf>
    <xf numFmtId="0" fontId="0" fillId="27" borderId="0" xfId="0" applyFont="1" applyFill="1" applyAlignment="1">
      <alignment vertical="center"/>
    </xf>
    <xf numFmtId="0" fontId="0" fillId="27" borderId="0" xfId="0" applyFont="1" applyFill="1" applyAlignment="1">
      <alignment vertical="center" wrapText="1"/>
    </xf>
    <xf numFmtId="167" fontId="1" fillId="27" borderId="0" xfId="28" applyNumberFormat="1" applyFont="1" applyFill="1" applyAlignment="1">
      <alignment vertical="center"/>
    </xf>
    <xf numFmtId="0" fontId="21" fillId="27" borderId="0" xfId="27" applyFill="1" applyAlignment="1">
      <alignment vertical="center"/>
    </xf>
    <xf numFmtId="9" fontId="1" fillId="27" borderId="0" xfId="26" applyFont="1" applyFill="1" applyAlignment="1">
      <alignment vertical="center"/>
    </xf>
    <xf numFmtId="167" fontId="1" fillId="27" borderId="0" xfId="26" applyNumberFormat="1" applyFont="1" applyFill="1" applyAlignment="1">
      <alignment vertical="center"/>
    </xf>
    <xf numFmtId="0" fontId="18" fillId="27" borderId="0" xfId="0" applyFont="1" applyFill="1" applyAlignment="1">
      <alignment vertical="center"/>
    </xf>
    <xf numFmtId="0" fontId="18" fillId="27" borderId="0" xfId="0" applyFont="1" applyFill="1" applyAlignment="1">
      <alignment vertical="center" wrapText="1"/>
    </xf>
    <xf numFmtId="166" fontId="18" fillId="27" borderId="0" xfId="28" applyNumberFormat="1" applyFont="1" applyFill="1" applyAlignment="1">
      <alignment vertical="center"/>
    </xf>
    <xf numFmtId="174" fontId="18" fillId="26" borderId="0" xfId="0" applyNumberFormat="1" applyFont="1" applyFill="1" applyBorder="1"/>
    <xf numFmtId="0" fontId="0" fillId="26" borderId="0" xfId="0" applyFill="1" applyBorder="1"/>
    <xf numFmtId="0" fontId="0" fillId="26" borderId="0" xfId="0" applyFill="1" applyBorder="1" applyAlignment="1">
      <alignment vertical="center"/>
    </xf>
    <xf numFmtId="0" fontId="0" fillId="26" borderId="0" xfId="0" applyFill="1" applyBorder="1" applyAlignment="1">
      <alignment wrapText="1"/>
    </xf>
    <xf numFmtId="174" fontId="0" fillId="26" borderId="0" xfId="0" applyNumberFormat="1" applyFill="1" applyBorder="1"/>
    <xf numFmtId="9" fontId="0" fillId="26" borderId="0" xfId="26" applyFont="1" applyFill="1" applyBorder="1"/>
    <xf numFmtId="174" fontId="12" fillId="26" borderId="0" xfId="0" applyNumberFormat="1" applyFont="1" applyFill="1" applyBorder="1"/>
    <xf numFmtId="166" fontId="18" fillId="26" borderId="0" xfId="0" applyNumberFormat="1" applyFont="1" applyFill="1"/>
    <xf numFmtId="166" fontId="0" fillId="26" borderId="0" xfId="0" applyNumberFormat="1" applyFill="1"/>
    <xf numFmtId="166" fontId="18" fillId="26" borderId="0" xfId="0" applyNumberFormat="1" applyFont="1" applyFill="1" applyBorder="1"/>
    <xf numFmtId="166" fontId="0" fillId="26" borderId="0" xfId="0" applyNumberFormat="1" applyFont="1" applyFill="1" applyBorder="1"/>
    <xf numFmtId="167" fontId="18" fillId="26" borderId="0" xfId="28" applyNumberFormat="1" applyFont="1" applyFill="1" applyBorder="1"/>
    <xf numFmtId="2" fontId="18" fillId="26" borderId="0" xfId="0" applyNumberFormat="1" applyFont="1" applyFill="1"/>
    <xf numFmtId="175" fontId="18" fillId="26" borderId="0" xfId="25" applyNumberFormat="1" applyFont="1" applyFill="1" applyBorder="1"/>
    <xf numFmtId="44" fontId="18" fillId="26" borderId="0" xfId="25" applyNumberFormat="1" applyFont="1" applyFill="1" applyBorder="1"/>
    <xf numFmtId="173" fontId="0" fillId="26" borderId="0" xfId="0" applyNumberFormat="1" applyFill="1" applyBorder="1"/>
    <xf numFmtId="0" fontId="0" fillId="0" borderId="0" xfId="0" applyFont="1" applyFill="1" applyBorder="1"/>
    <xf numFmtId="167" fontId="0" fillId="0" borderId="0" xfId="28" applyNumberFormat="1" applyFont="1" applyBorder="1"/>
    <xf numFmtId="167" fontId="0" fillId="0" borderId="0" xfId="28" applyNumberFormat="1" applyFont="1" applyFill="1" applyBorder="1"/>
    <xf numFmtId="166" fontId="0" fillId="0" borderId="0" xfId="0" applyNumberFormat="1" applyFill="1" applyBorder="1"/>
    <xf numFmtId="166" fontId="36" fillId="15" borderId="8" xfId="0" applyNumberFormat="1" applyFont="1" applyFill="1" applyBorder="1"/>
    <xf numFmtId="44" fontId="19" fillId="27" borderId="8" xfId="0" applyNumberFormat="1" applyFont="1" applyFill="1" applyBorder="1"/>
    <xf numFmtId="44" fontId="19" fillId="0" borderId="8" xfId="0" applyNumberFormat="1" applyFont="1" applyFill="1" applyBorder="1"/>
    <xf numFmtId="44" fontId="19" fillId="15" borderId="8" xfId="25" applyFont="1" applyFill="1" applyBorder="1"/>
    <xf numFmtId="0" fontId="19" fillId="15" borderId="0" xfId="0" applyFont="1" applyFill="1" applyBorder="1" applyAlignment="1">
      <alignment vertical="center"/>
    </xf>
    <xf numFmtId="0" fontId="19" fillId="15" borderId="0" xfId="0" applyFont="1" applyFill="1" applyBorder="1"/>
    <xf numFmtId="44" fontId="19" fillId="0" borderId="0" xfId="25" applyFont="1" applyFill="1" applyBorder="1"/>
    <xf numFmtId="44" fontId="19" fillId="27" borderId="0" xfId="25" applyFont="1" applyFill="1"/>
    <xf numFmtId="0" fontId="18" fillId="29" borderId="0" xfId="0" applyFont="1" applyFill="1" applyAlignment="1">
      <alignment horizontal="center" vertical="center"/>
    </xf>
    <xf numFmtId="0" fontId="18" fillId="28" borderId="0" xfId="0" applyFont="1" applyFill="1" applyAlignment="1">
      <alignment horizontal="center" vertical="center"/>
    </xf>
    <xf numFmtId="0" fontId="18" fillId="28" borderId="27" xfId="0" applyFont="1" applyFill="1" applyBorder="1" applyAlignment="1">
      <alignment horizontal="center" vertical="center"/>
    </xf>
    <xf numFmtId="0" fontId="18" fillId="30" borderId="21" xfId="0" applyFont="1" applyFill="1" applyBorder="1" applyAlignment="1">
      <alignment horizontal="center" vertical="center"/>
    </xf>
    <xf numFmtId="0" fontId="18" fillId="30" borderId="22" xfId="0" applyFont="1" applyFill="1" applyBorder="1" applyAlignment="1">
      <alignment horizontal="center" vertical="center"/>
    </xf>
    <xf numFmtId="0" fontId="0" fillId="15" borderId="21" xfId="0" applyFont="1" applyFill="1" applyBorder="1" applyAlignment="1">
      <alignment horizontal="center" vertical="center"/>
    </xf>
    <xf numFmtId="0" fontId="0" fillId="15" borderId="22" xfId="0" applyFont="1" applyFill="1" applyBorder="1" applyAlignment="1">
      <alignment horizontal="center" vertical="center"/>
    </xf>
    <xf numFmtId="0" fontId="0" fillId="23" borderId="0" xfId="0" applyFill="1" applyAlignment="1">
      <alignment horizontal="center" vertical="center"/>
    </xf>
    <xf numFmtId="0" fontId="0" fillId="25" borderId="0" xfId="0" applyFill="1" applyAlignment="1">
      <alignment horizontal="center" vertical="center"/>
    </xf>
    <xf numFmtId="0" fontId="0" fillId="22" borderId="0" xfId="0" applyFill="1" applyAlignment="1">
      <alignment horizontal="center" vertical="center"/>
    </xf>
    <xf numFmtId="0" fontId="18" fillId="23" borderId="12" xfId="0" applyFont="1" applyFill="1" applyBorder="1" applyAlignment="1">
      <alignment horizontal="left"/>
    </xf>
    <xf numFmtId="0" fontId="18" fillId="23" borderId="13" xfId="0" applyFont="1" applyFill="1" applyBorder="1" applyAlignment="1">
      <alignment horizontal="left"/>
    </xf>
    <xf numFmtId="0" fontId="18" fillId="23" borderId="30" xfId="0" applyFont="1" applyFill="1" applyBorder="1" applyAlignment="1">
      <alignment horizontal="left"/>
    </xf>
    <xf numFmtId="0" fontId="12" fillId="15" borderId="0" xfId="0" applyFont="1" applyFill="1" applyAlignment="1">
      <alignment horizontal="left" vertical="top" wrapText="1"/>
    </xf>
  </cellXfs>
  <cellStyles count="33">
    <cellStyle name="Accent4" xfId="23" builtinId="41" customBuiltin="1"/>
    <cellStyle name="Accent6" xfId="24" builtinId="49" customBuiltin="1"/>
    <cellStyle name="Bad" xfId="8" builtinId="27" customBuiltin="1"/>
    <cellStyle name="Calculation" xfId="10" builtinId="22" hidden="1"/>
    <cellStyle name="Calculation" xfId="19" xr:uid="{BA044971-647E-4B43-BDF3-B9F90685EA06}"/>
    <cellStyle name="Check Cell" xfId="12" builtinId="23" hidden="1"/>
    <cellStyle name="Comma" xfId="28" builtinId="3"/>
    <cellStyle name="Comma 2" xfId="31" xr:uid="{8422C9A5-7F63-4B25-A445-14B392C736D5}"/>
    <cellStyle name="Currency" xfId="25" builtinId="4"/>
    <cellStyle name="Currency 2" xfId="30" xr:uid="{F5AA8ACA-8A46-4F10-9EED-FBF240E74DDC}"/>
    <cellStyle name="Explanatory Text" xfId="15" builtinId="53" hidden="1"/>
    <cellStyle name="Heading 1" xfId="2" builtinId="16" customBuiltin="1"/>
    <cellStyle name="Heading 2" xfId="3" builtinId="17" customBuiltin="1"/>
    <cellStyle name="Heading 3" xfId="4" builtinId="18" customBuiltin="1"/>
    <cellStyle name="Heading 4" xfId="17" builtinId="19" customBuiltin="1"/>
    <cellStyle name="Hyperlink" xfId="27" builtinId="8"/>
    <cellStyle name="Input" xfId="9" builtinId="20" hidden="1"/>
    <cellStyle name="Link" xfId="20" xr:uid="{F6F335AB-58A7-4135-B553-B7C2CE08F402}"/>
    <cellStyle name="Linked Cell" xfId="11" builtinId="24" hidden="1"/>
    <cellStyle name="Normal" xfId="0" builtinId="0"/>
    <cellStyle name="Normal 2" xfId="29" xr:uid="{61B75613-AF02-4AB1-83BC-B6F655B6861A}"/>
    <cellStyle name="Normal 2 2" xfId="32" xr:uid="{76F57795-5DE1-4064-969B-00386FEBCD14}"/>
    <cellStyle name="Note" xfId="14" builtinId="10" hidden="1"/>
    <cellStyle name="Notes" xfId="22" xr:uid="{7BF13CA6-F5E1-45BE-8ABA-DF8882E10889}"/>
    <cellStyle name="Output" xfId="5" builtinId="21" hidden="1" customBuiltin="1"/>
    <cellStyle name="Output" xfId="1" xr:uid="{DDC8B129-E4EA-4CC9-B7C4-EEF8799DAD76}"/>
    <cellStyle name="Percent" xfId="26" builtinId="5"/>
    <cellStyle name="Raw Data" xfId="6" xr:uid="{6E154805-33DE-42D5-80BA-AF332D8E7637}"/>
    <cellStyle name="Title" xfId="16" builtinId="15" customBuiltin="1"/>
    <cellStyle name="Total" xfId="18" builtinId="25" customBuiltin="1"/>
    <cellStyle name="Variables" xfId="7" xr:uid="{F06CDAB5-849E-4246-87E8-405DA417694B}"/>
    <cellStyle name="Warning" xfId="21" xr:uid="{270F583D-5642-40BB-8274-77A9A43F50AB}"/>
    <cellStyle name="Warning Text" xfId="13" builtinId="11" hidden="1"/>
  </cellStyles>
  <dxfs count="20">
    <dxf>
      <font>
        <color rgb="FF006100"/>
      </font>
      <fill>
        <patternFill>
          <bgColor rgb="FFC6EFCE"/>
        </patternFill>
      </fill>
    </dxf>
    <dxf>
      <font>
        <color rgb="FF9C0006"/>
      </font>
      <fill>
        <patternFill>
          <bgColor rgb="FFFFC7CE"/>
        </patternFill>
      </fill>
    </dxf>
    <dxf>
      <fill>
        <patternFill>
          <bgColor rgb="FFE6E6E6"/>
        </patternFill>
      </fill>
    </dxf>
    <dxf>
      <font>
        <b/>
        <i val="0"/>
      </font>
    </dxf>
    <dxf>
      <font>
        <b/>
        <i val="0"/>
        <color theme="0"/>
      </font>
      <fill>
        <patternFill>
          <bgColor theme="4"/>
        </patternFill>
      </fill>
      <border diagonalUp="0" diagonalDown="0">
        <left/>
        <right/>
        <top/>
        <bottom style="thick">
          <color auto="1"/>
        </bottom>
        <vertical/>
        <horizontal/>
      </border>
    </dxf>
    <dxf>
      <font>
        <b/>
        <i val="0"/>
      </font>
    </dxf>
    <dxf>
      <font>
        <b/>
        <i val="0"/>
        <color auto="1"/>
      </font>
      <fill>
        <patternFill>
          <bgColor rgb="FFE6E6E6"/>
        </patternFill>
      </fill>
      <border diagonalUp="0" diagonalDown="0">
        <left/>
        <right/>
        <top/>
        <bottom/>
        <vertical/>
        <horizontal/>
      </border>
    </dxf>
    <dxf>
      <border diagonalUp="0" diagonalDown="0">
        <left/>
        <right/>
        <top/>
        <bottom/>
        <vertical/>
        <horizontal style="thin">
          <color rgb="FF7F7F7F"/>
        </horizontal>
      </border>
    </dxf>
    <dxf>
      <font>
        <b/>
        <i val="0"/>
      </font>
    </dxf>
    <dxf>
      <font>
        <b/>
        <i val="0"/>
        <color auto="1"/>
      </font>
      <fill>
        <patternFill>
          <bgColor rgb="FFE6E6E6"/>
        </patternFill>
      </fill>
      <border diagonalUp="0" diagonalDown="0">
        <left/>
        <right/>
        <top/>
        <bottom/>
        <vertical/>
        <horizontal/>
      </border>
    </dxf>
    <dxf>
      <font>
        <b/>
        <i val="0"/>
      </font>
    </dxf>
    <dxf>
      <font>
        <b/>
        <i val="0"/>
        <color theme="0"/>
      </font>
      <fill>
        <patternFill>
          <bgColor theme="4"/>
        </patternFill>
      </fill>
      <border diagonalUp="0" diagonalDown="0">
        <left/>
        <right/>
        <top/>
        <bottom/>
        <vertical/>
        <horizontal/>
      </border>
    </dxf>
    <dxf>
      <border diagonalUp="0" diagonalDown="0">
        <left/>
        <right/>
        <top/>
        <bottom/>
        <vertical/>
        <horizontal style="thin">
          <color rgb="FF7F7F7F"/>
        </horizontal>
      </border>
    </dxf>
    <dxf>
      <font>
        <b/>
        <i val="0"/>
      </font>
    </dxf>
    <dxf>
      <font>
        <b/>
        <i val="0"/>
        <color theme="0"/>
      </font>
      <fill>
        <patternFill>
          <bgColor theme="4"/>
        </patternFill>
      </fill>
      <border diagonalUp="0" diagonalDown="0">
        <left/>
        <right/>
        <top/>
        <bottom/>
        <vertical/>
        <horizontal/>
      </border>
    </dxf>
    <dxf>
      <font>
        <b/>
        <i val="0"/>
      </font>
    </dxf>
    <dxf>
      <font>
        <b/>
        <i val="0"/>
      </font>
      <border diagonalUp="0" diagonalDown="0">
        <left/>
        <right/>
        <top/>
        <bottom style="thick">
          <color rgb="FF7F7F7F"/>
        </bottom>
        <vertical/>
        <horizontal/>
      </border>
    </dxf>
    <dxf>
      <font>
        <b/>
        <i val="0"/>
      </font>
    </dxf>
    <dxf>
      <font>
        <b/>
        <i val="0"/>
      </font>
      <border diagonalUp="0" diagonalDown="0">
        <left/>
        <right/>
        <top/>
        <bottom style="thick">
          <color rgb="FF7F7F7F"/>
        </bottom>
        <vertical/>
        <horizontal/>
      </border>
    </dxf>
    <dxf>
      <border diagonalUp="0" diagonalDown="0">
        <left/>
        <right/>
        <top/>
        <bottom/>
        <vertical/>
        <horizontal style="thin">
          <color rgb="FF7F7F7F"/>
        </horizontal>
      </border>
    </dxf>
  </dxfs>
  <tableStyles count="7" defaultTableStyle="TableStyleMedium2" defaultPivotStyle="PivotStyleLight16">
    <tableStyle name="Firm Table 1" pivot="0" count="3" xr9:uid="{EBA62709-C567-4EE8-B22C-FB062E3CEA69}">
      <tableStyleElement type="wholeTable" dxfId="19"/>
      <tableStyleElement type="headerRow" dxfId="18"/>
      <tableStyleElement type="firstColumn" dxfId="17"/>
    </tableStyle>
    <tableStyle name="Firm Table 2" pivot="0" count="2" xr9:uid="{B876A247-FB3A-4EAD-8ABF-DECA13B726A4}">
      <tableStyleElement type="headerRow" dxfId="16"/>
      <tableStyleElement type="firstColumn" dxfId="15"/>
    </tableStyle>
    <tableStyle name="Firm Table 3" pivot="0" count="2" xr9:uid="{2B6AAF42-6E59-4306-B0DA-5849423BC35A}">
      <tableStyleElement type="headerRow" dxfId="14"/>
      <tableStyleElement type="firstColumn" dxfId="13"/>
    </tableStyle>
    <tableStyle name="Firm Table 4" pivot="0" count="3" xr9:uid="{32B30501-1584-4AD4-A03A-1FBBE68503FC}">
      <tableStyleElement type="wholeTable" dxfId="12"/>
      <tableStyleElement type="headerRow" dxfId="11"/>
      <tableStyleElement type="firstColumn" dxfId="10"/>
    </tableStyle>
    <tableStyle name="Firm Table 5" pivot="0" count="2" xr9:uid="{5186B738-23FD-49C9-A79F-52302289DB42}">
      <tableStyleElement type="headerRow" dxfId="9"/>
      <tableStyleElement type="firstColumn" dxfId="8"/>
    </tableStyle>
    <tableStyle name="Firm Table 6" pivot="0" count="3" xr9:uid="{5115FDC7-826F-425C-92C7-D20F38226ADA}">
      <tableStyleElement type="wholeTable" dxfId="7"/>
      <tableStyleElement type="headerRow" dxfId="6"/>
      <tableStyleElement type="firstColumn" dxfId="5"/>
    </tableStyle>
    <tableStyle name="Firm Table 7" pivot="0" count="3" xr9:uid="{084FD9DC-CC97-454E-8CBD-B2EE3CD956D6}">
      <tableStyleElement type="headerRow" dxfId="4"/>
      <tableStyleElement type="firstColumn" dxfId="3"/>
      <tableStyleElement type="secondRowStripe" dxfId="2"/>
    </tableStyle>
  </tableStyles>
  <colors>
    <mruColors>
      <color rgb="FFFFFF99"/>
      <color rgb="FFF39B9B"/>
      <color rgb="FFC4E59F"/>
      <color rgb="FFFFCC66"/>
      <color rgb="FFFFFFCC"/>
      <color rgb="FFE73535"/>
      <color rgb="FFFAA082"/>
      <color rgb="FF0000FF"/>
      <color rgb="FFF2F2F2"/>
      <color rgb="FFD0D0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152977</xdr:colOff>
      <xdr:row>48</xdr:row>
      <xdr:rowOff>71930</xdr:rowOff>
    </xdr:from>
    <xdr:ext cx="3435953" cy="2423092"/>
    <xdr:pic>
      <xdr:nvPicPr>
        <xdr:cNvPr id="2" name="Picture 1">
          <a:extLst>
            <a:ext uri="{FF2B5EF4-FFF2-40B4-BE49-F238E27FC236}">
              <a16:creationId xmlns:a16="http://schemas.microsoft.com/office/drawing/2014/main" id="{33FEFD4D-9CCB-4A0C-A25B-9E86DC4A5A15}"/>
            </a:ext>
          </a:extLst>
        </xdr:cNvPr>
        <xdr:cNvPicPr>
          <a:picLocks noChangeAspect="1"/>
        </xdr:cNvPicPr>
      </xdr:nvPicPr>
      <xdr:blipFill>
        <a:blip xmlns:r="http://schemas.openxmlformats.org/officeDocument/2006/relationships" r:embed="rId1"/>
        <a:stretch>
          <a:fillRect/>
        </a:stretch>
      </xdr:blipFill>
      <xdr:spPr>
        <a:xfrm>
          <a:off x="817995" y="30801312"/>
          <a:ext cx="3435953" cy="2423092"/>
        </a:xfrm>
        <a:prstGeom prst="rect">
          <a:avLst/>
        </a:prstGeom>
      </xdr:spPr>
    </xdr:pic>
    <xdr:clientData/>
  </xdr:oneCellAnchor>
  <xdr:twoCellAnchor editAs="oneCell">
    <xdr:from>
      <xdr:col>3</xdr:col>
      <xdr:colOff>983673</xdr:colOff>
      <xdr:row>48</xdr:row>
      <xdr:rowOff>87053</xdr:rowOff>
    </xdr:from>
    <xdr:to>
      <xdr:col>7</xdr:col>
      <xdr:colOff>345758</xdr:colOff>
      <xdr:row>82</xdr:row>
      <xdr:rowOff>20361</xdr:rowOff>
    </xdr:to>
    <xdr:pic>
      <xdr:nvPicPr>
        <xdr:cNvPr id="3" name="Picture 2">
          <a:extLst>
            <a:ext uri="{FF2B5EF4-FFF2-40B4-BE49-F238E27FC236}">
              <a16:creationId xmlns:a16="http://schemas.microsoft.com/office/drawing/2014/main" id="{17F12A7A-E14D-499E-9C8D-4AD232D8D89B}"/>
            </a:ext>
          </a:extLst>
        </xdr:cNvPr>
        <xdr:cNvPicPr>
          <a:picLocks noChangeAspect="1"/>
        </xdr:cNvPicPr>
      </xdr:nvPicPr>
      <xdr:blipFill>
        <a:blip xmlns:r="http://schemas.openxmlformats.org/officeDocument/2006/relationships" r:embed="rId2"/>
        <a:stretch>
          <a:fillRect/>
        </a:stretch>
      </xdr:blipFill>
      <xdr:spPr>
        <a:xfrm>
          <a:off x="5237018" y="30816435"/>
          <a:ext cx="5042449" cy="60557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28</xdr:row>
      <xdr:rowOff>0</xdr:rowOff>
    </xdr:from>
    <xdr:ext cx="8487890" cy="5571855"/>
    <xdr:pic>
      <xdr:nvPicPr>
        <xdr:cNvPr id="2" name="Picture 1">
          <a:extLst>
            <a:ext uri="{FF2B5EF4-FFF2-40B4-BE49-F238E27FC236}">
              <a16:creationId xmlns:a16="http://schemas.microsoft.com/office/drawing/2014/main" id="{0C69E2A0-C444-48F8-96DF-160F4DB3FAB5}"/>
            </a:ext>
          </a:extLst>
        </xdr:cNvPr>
        <xdr:cNvPicPr>
          <a:picLocks noChangeAspect="1"/>
        </xdr:cNvPicPr>
      </xdr:nvPicPr>
      <xdr:blipFill>
        <a:blip xmlns:r="http://schemas.openxmlformats.org/officeDocument/2006/relationships" r:embed="rId1"/>
        <a:stretch>
          <a:fillRect/>
        </a:stretch>
      </xdr:blipFill>
      <xdr:spPr>
        <a:xfrm>
          <a:off x="662940" y="9090660"/>
          <a:ext cx="8487890" cy="5571855"/>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Anthony Morgan" id="{608A019C-B856-4ADA-9F7F-2EB444E9F66A}" userId="S::Anthony_Morgan@mckinsey.com::ba55dc94-5517-49e6-9606-2ed78e2051d0" providerId="AD"/>
</personList>
</file>

<file path=xl/theme/theme1.xml><?xml version="1.0" encoding="utf-8"?>
<a:theme xmlns:a="http://schemas.openxmlformats.org/drawingml/2006/main" name="excel">
  <a:themeElements>
    <a:clrScheme name="Custom 24">
      <a:dk1>
        <a:srgbClr val="000000"/>
      </a:dk1>
      <a:lt1>
        <a:srgbClr val="FFFFFF"/>
      </a:lt1>
      <a:dk2>
        <a:srgbClr val="FFFFFF"/>
      </a:dk2>
      <a:lt2>
        <a:srgbClr val="FFFFFF"/>
      </a:lt2>
      <a:accent1>
        <a:srgbClr val="051C2C"/>
      </a:accent1>
      <a:accent2>
        <a:srgbClr val="00A9F4"/>
      </a:accent2>
      <a:accent3>
        <a:srgbClr val="2251FF"/>
      </a:accent3>
      <a:accent4>
        <a:srgbClr val="AAE6F0"/>
      </a:accent4>
      <a:accent5>
        <a:srgbClr val="3C96B4"/>
      </a:accent5>
      <a:accent6>
        <a:srgbClr val="AFC3FF"/>
      </a:accent6>
      <a:hlink>
        <a:srgbClr val="1F40E6"/>
      </a:hlink>
      <a:folHlink>
        <a:srgbClr val="8C5AC8"/>
      </a:folHlink>
    </a:clrScheme>
    <a:fontScheme name="Scheme White Fonts">
      <a:majorFont>
        <a:latin typeface="Georgia"/>
        <a:ea typeface=""/>
        <a:cs typeface=""/>
      </a:majorFont>
      <a:minorFont>
        <a:latin typeface="Arial"/>
        <a:ea typeface=""/>
        <a:cs typeface=""/>
      </a:minorFont>
    </a:fontScheme>
    <a:fmtScheme name="Subtle Solids">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w="6350" cap="sq">
          <a:noFill/>
          <a:miter lim="800000"/>
        </a:ln>
      </a:spPr>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defPPr algn="ctr">
          <a:spcBef>
            <a:spcPts val="300"/>
          </a:spcBef>
          <a:spcAft>
            <a:spcPts val="300"/>
          </a:spcAft>
          <a:defRPr sz="1600" dirty="0" err="1">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6350" cap="sq">
          <a:solidFill>
            <a:srgbClr val="000000"/>
          </a:solidFill>
          <a:miter lim="800000"/>
          <a:tailEnd type="none"/>
        </a:ln>
      </a:spPr>
      <a:bodyPr/>
      <a:lstStyle/>
      <a:style>
        <a:lnRef idx="1">
          <a:schemeClr val="accent1"/>
        </a:lnRef>
        <a:fillRef idx="0">
          <a:schemeClr val="accent1"/>
        </a:fillRef>
        <a:effectRef idx="0">
          <a:schemeClr val="accent1"/>
        </a:effectRef>
        <a:fontRef idx="minor">
          <a:schemeClr val="tx1"/>
        </a:fontRef>
      </a:style>
    </a:lnDef>
    <a:txDef>
      <a:spPr>
        <a:ln w="6350">
          <a:noFill/>
          <a:miter lim="800000"/>
        </a:ln>
      </a:spPr>
      <a:bodyPr vert="horz" wrap="square" lIns="0" tIns="0" rIns="0" bIns="0" rtlCol="0">
        <a:noAutofit/>
      </a:bodyPr>
      <a:lstStyle>
        <a:defPPr algn="l">
          <a:spcBef>
            <a:spcPts val="300"/>
          </a:spcBef>
          <a:spcAft>
            <a:spcPts val="300"/>
          </a:spcAft>
          <a:buNone/>
          <a:defRPr sz="1600" dirty="0" smtClean="0"/>
        </a:defPPr>
      </a:lstStyle>
    </a:txDef>
  </a:objectDefaults>
  <a:extraClrSchemeLst>
    <a:extraClrScheme>
      <a:clrScheme name="Scheme White">
        <a:dk1>
          <a:srgbClr val="000000"/>
        </a:dk1>
        <a:lt1>
          <a:srgbClr val="FFFFFF"/>
        </a:lt1>
        <a:dk2>
          <a:srgbClr val="FFFFFF"/>
        </a:dk2>
        <a:lt2>
          <a:srgbClr val="FFFFFF"/>
        </a:lt2>
        <a:accent1>
          <a:srgbClr val="051C2C"/>
        </a:accent1>
        <a:accent2>
          <a:srgbClr val="00A9F4"/>
        </a:accent2>
        <a:accent3>
          <a:srgbClr val="1F40E6"/>
        </a:accent3>
        <a:accent4>
          <a:srgbClr val="AAE6F0"/>
        </a:accent4>
        <a:accent5>
          <a:srgbClr val="3C96B4"/>
        </a:accent5>
        <a:accent6>
          <a:srgbClr val="AFC3FF"/>
        </a:accent6>
        <a:hlink>
          <a:srgbClr val="1F40E6"/>
        </a:hlink>
        <a:folHlink>
          <a:srgbClr val="8C5AC8"/>
        </a:folHlink>
      </a:clrScheme>
    </a:extraClrScheme>
  </a:extraClrSchemeLst>
  <a:custClrLst>
    <a:custClr name="Electric Blue">
      <a:srgbClr val="2251FF"/>
    </a:custClr>
    <a:custClr name="Cyan">
      <a:srgbClr val="00A9F4"/>
    </a:custClr>
    <a:custClr name="Pale Blue">
      <a:srgbClr val="6DC1DB"/>
    </a:custClr>
    <a:custClr name="Super Light Gray">
      <a:srgbClr val="D0D0D0"/>
    </a:custClr>
    <a:custClr name="Pink">
      <a:srgbClr val="E8BDAD"/>
    </a:custClr>
    <a:custClr name="Orange">
      <a:srgbClr val="FAA082"/>
    </a:custClr>
    <a:custClr name="Red">
      <a:srgbClr val="E5546C"/>
    </a:custClr>
    <a:custClr name="Null">
      <a:srgbClr val="FFFFFF"/>
    </a:custClr>
    <a:custClr name="Null">
      <a:srgbClr val="FFFFFF"/>
    </a:custClr>
    <a:custClr name="Null">
      <a:srgbClr val="FFFFFF"/>
    </a:custClr>
    <a:custClr name="Dark Gray">
      <a:srgbClr val="4D4D4D"/>
    </a:custClr>
    <a:custClr name="Mid Gray">
      <a:srgbClr val="7F7F7F"/>
    </a:custClr>
    <a:custClr name="Light Gray">
      <a:srgbClr val="B3B3B3"/>
    </a:custClr>
    <a:custClr name="Super Light Gray">
      <a:srgbClr val="D0D0D0"/>
    </a:custClr>
    <a:custClr name="Pale Gray">
      <a:srgbClr val="E6E6E6"/>
    </a:custClr>
    <a:custClr name="Null">
      <a:srgbClr val="FFFFFF"/>
    </a:custClr>
    <a:custClr name="Null">
      <a:srgbClr val="FFFFFF"/>
    </a:custClr>
    <a:custClr name="Null">
      <a:srgbClr val="FFFFFF"/>
    </a:custClr>
    <a:custClr name="Null">
      <a:srgbClr val="FFFFFF"/>
    </a:custClr>
    <a:custClr name="Null">
      <a:srgbClr val="FFFFFF"/>
    </a:custClr>
    <a:custClr name="Linear 1 (Deep Blue)">
      <a:srgbClr val="051C2C"/>
    </a:custClr>
    <a:custClr name="Linear 2">
      <a:srgbClr val="034B6F"/>
    </a:custClr>
    <a:custClr name="Linear 3">
      <a:srgbClr val="027AB1"/>
    </a:custClr>
    <a:custClr name="Linear 4 (Cyan)">
      <a:srgbClr val="00A9F4"/>
    </a:custClr>
    <a:custClr name="Linear 5">
      <a:srgbClr val="71D2F1"/>
    </a:custClr>
    <a:custClr name="Linear 6 (Pale Blue)">
      <a:srgbClr val="AAE6F0"/>
    </a:custClr>
    <a:custClr name="Null">
      <a:srgbClr val="FFFFFF"/>
    </a:custClr>
    <a:custClr name="Null">
      <a:srgbClr val="FFFFFF"/>
    </a:custClr>
    <a:custClr name="Null">
      <a:srgbClr val="FFFFFF"/>
    </a:custClr>
    <a:custClr name="Null">
      <a:srgbClr val="FFFFFF"/>
    </a:custClr>
  </a:custClrLst>
  <a:extLst>
    <a:ext uri="{05A4C25C-085E-4340-85A3-A5531E510DB2}">
      <thm15:themeFamily xmlns:thm15="http://schemas.microsoft.com/office/thememl/2012/main" name="mck" id="{5C06EE14-FD0C-4D84-95B7-A7A2283B4F1A}" vid="{E155375D-59B9-41EA-8544-0CDF30FD128F}"/>
    </a:ext>
  </a:extLst>
</a:theme>
</file>

<file path=xl/threadedComments/threadedComment1.xml><?xml version="1.0" encoding="utf-8"?>
<ThreadedComments xmlns="http://schemas.microsoft.com/office/spreadsheetml/2018/threadedcomments" xmlns:x="http://schemas.openxmlformats.org/spreadsheetml/2006/main">
  <threadedComment ref="H20" dT="2021-06-15T15:00:50.97" personId="{608A019C-B856-4ADA-9F7F-2EB444E9F66A}" id="{E3DF918A-81B1-4C6C-9564-1657870144F1}">
    <text>The paper costs are sourced from uses the official poverty line in the US, which they acknowledge may be an overestimate of the costs. To remedy this, the paper recommends using the Supplemental Poverty Measure, a different estimate ~20% lower than that used in the paper</text>
  </threadedComment>
  <threadedComment ref="H39" dT="2021-06-15T15:00:50.97" personId="{608A019C-B856-4ADA-9F7F-2EB444E9F66A}" id="{CDE2C136-36B3-4463-8804-F730BF564BC8}">
    <text>The paper costs are sourced from uses the official poverty line in the US, which they acknowledge may be an overestimate of the costs. To remedy this, the paper recommends using the Supplemental Poverty Measure, a different estimate ~20% lower than that used in the paper</text>
  </threadedComment>
</ThreadedComments>
</file>

<file path=xl/threadedComments/threadedComment2.xml><?xml version="1.0" encoding="utf-8"?>
<ThreadedComments xmlns="http://schemas.microsoft.com/office/spreadsheetml/2018/threadedcomments" xmlns:x="http://schemas.openxmlformats.org/spreadsheetml/2006/main">
  <threadedComment ref="E6" dT="2021-05-11T19:24:46.94" personId="{608A019C-B856-4ADA-9F7F-2EB444E9F66A}" id="{9D4257D8-8E61-467C-AD66-5C8B2F7B3DEC}">
    <text>Average from surveys from 2009 through 2018</text>
  </threadedComment>
</ThreadedComments>
</file>

<file path=xl/threadedComments/threadedComment3.xml><?xml version="1.0" encoding="utf-8"?>
<ThreadedComments xmlns="http://schemas.microsoft.com/office/spreadsheetml/2018/threadedcomments" xmlns:x="http://schemas.openxmlformats.org/spreadsheetml/2006/main">
  <threadedComment ref="C24" dT="2021-06-08T16:30:02.04" personId="{608A019C-B856-4ADA-9F7F-2EB444E9F66A}" id="{05392F6F-1792-4624-A130-23B1FFDECD28}">
    <text>Assumption based on eating red meat occassionally on Mediterranean diet</text>
  </threadedComment>
  <threadedComment ref="C26" dT="2021-06-08T16:30:02.04" personId="{608A019C-B856-4ADA-9F7F-2EB444E9F66A}" id="{278F5B7F-201F-48EF-B7A1-38C2E9DA9418}">
    <text>Assumption based on eating red meat occassionally on Mediterranean diet</text>
  </threadedComment>
  <threadedComment ref="C28" dT="2021-06-08T16:30:02.04" personId="{608A019C-B856-4ADA-9F7F-2EB444E9F66A}" id="{359E90B5-EC44-4011-8EF1-5E9353639218}">
    <text>Assumption based on eating red meat occassionally on Mediterranean diet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educationdata.org/k12-enrollment-statistic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brookings.edu/blog/brown-center-chalkboard/2017/05/03/how-the-quality-of-school-lunch-affects-students-academic-performanc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5.xml.rels><?xml version="1.0" encoding="UTF-8" standalone="yes"?>
<Relationships xmlns="http://schemas.openxmlformats.org/package/2006/relationships"><Relationship Id="rId3" Type="http://schemas.openxmlformats.org/officeDocument/2006/relationships/hyperlink" Target="https://fdc.nal.usda.gov/" TargetMode="External"/><Relationship Id="rId2" Type="http://schemas.openxmlformats.org/officeDocument/2006/relationships/hyperlink" Target="https://fdc.nal.usda.gov/" TargetMode="External"/><Relationship Id="rId1" Type="http://schemas.openxmlformats.org/officeDocument/2006/relationships/hyperlink" Target="https://www.dietaryguidelines.gov/sites/default/files/2020-12/Dietary_Guidelines_for_Americans_2020-2025.pdf"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guide2research.com/research/american-school-statistics" TargetMode="External"/><Relationship Id="rId2" Type="http://schemas.openxmlformats.org/officeDocument/2006/relationships/hyperlink" Target="https://changelabsolutions.org/sites/default/files/documents/Cost_Fact_Sheet.pdf" TargetMode="External"/><Relationship Id="rId1" Type="http://schemas.openxmlformats.org/officeDocument/2006/relationships/hyperlink" Target="https://www.fns.usda.gov/pressrelease/2014/009814" TargetMode="External"/><Relationship Id="rId5" Type="http://schemas.openxmlformats.org/officeDocument/2006/relationships/printerSettings" Target="../printerSettings/printerSettings14.bin"/><Relationship Id="rId4" Type="http://schemas.openxmlformats.org/officeDocument/2006/relationships/hyperlink" Target="https://www.fns.usda.gov/pressrelease/2014/009814"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epa.gov/facts-and-figures-about-materials-waste-and-recycling/plastics-material-specific-data" TargetMode="External"/><Relationship Id="rId1" Type="http://schemas.openxmlformats.org/officeDocument/2006/relationships/hyperlink" Target="https://www.epa.gov/sustainable-management-food/sustainable-management-food-basic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8" Type="http://schemas.openxmlformats.org/officeDocument/2006/relationships/hyperlink" Target="https://source.wustl.edu/2018/04/childhood-poverty-cost-u-s-1-03-trillion-in-a-year-study-finds/" TargetMode="External"/><Relationship Id="rId13" Type="http://schemas.openxmlformats.org/officeDocument/2006/relationships/hyperlink" Target="https://jamanetwork.com/journals/jamanetworkopen/fullarticle/2778453" TargetMode="External"/><Relationship Id="rId18" Type="http://schemas.openxmlformats.org/officeDocument/2006/relationships/drawing" Target="../drawings/drawing1.xml"/><Relationship Id="rId3" Type="http://schemas.openxmlformats.org/officeDocument/2006/relationships/hyperlink" Target="https://jamanetwork.com/journals/jamanetworkopen/fullarticle/2778453" TargetMode="External"/><Relationship Id="rId21" Type="http://schemas.microsoft.com/office/2017/10/relationships/threadedComment" Target="../threadedComments/threadedComment2.xml"/><Relationship Id="rId7" Type="http://schemas.openxmlformats.org/officeDocument/2006/relationships/hyperlink" Target="https://source.wustl.edu/2018/04/childhood-poverty-cost-u-s-1-03-trillion-in-a-year-study-finds/" TargetMode="External"/><Relationship Id="rId12" Type="http://schemas.openxmlformats.org/officeDocument/2006/relationships/hyperlink" Target="https://econofact.org/child-poverty-in-the-u-s" TargetMode="External"/><Relationship Id="rId17" Type="http://schemas.openxmlformats.org/officeDocument/2006/relationships/printerSettings" Target="../printerSettings/printerSettings6.bin"/><Relationship Id="rId2" Type="http://schemas.openxmlformats.org/officeDocument/2006/relationships/hyperlink" Target="https://jamanetwork.com/journals/jamanetworkopen/fullarticle/2778453" TargetMode="External"/><Relationship Id="rId16" Type="http://schemas.openxmlformats.org/officeDocument/2006/relationships/hyperlink" Target="https://jamanetwork.com/journals/jamanetworkopen/fullarticle/2778453" TargetMode="External"/><Relationship Id="rId20" Type="http://schemas.openxmlformats.org/officeDocument/2006/relationships/comments" Target="../comments2.xml"/><Relationship Id="rId1" Type="http://schemas.openxmlformats.org/officeDocument/2006/relationships/hyperlink" Target="https://jamanetwork.com/journals/jamanetworkopen/fullarticle/2778453" TargetMode="External"/><Relationship Id="rId6" Type="http://schemas.openxmlformats.org/officeDocument/2006/relationships/hyperlink" Target="https://data.worldbank.org/indicator/NY.ADJ.NNTY.PC.CD" TargetMode="External"/><Relationship Id="rId11" Type="http://schemas.openxmlformats.org/officeDocument/2006/relationships/hyperlink" Target="https://www.census.gov/content/dam/Census/library/publications/2018/demo/p60-265.pdf" TargetMode="External"/><Relationship Id="rId5" Type="http://schemas.openxmlformats.org/officeDocument/2006/relationships/hyperlink" Target="https://frac.org/hunger-poverty-america" TargetMode="External"/><Relationship Id="rId15" Type="http://schemas.openxmlformats.org/officeDocument/2006/relationships/hyperlink" Target="https://jamanetwork.com/journals/jamanetworkopen/fullarticle/2778453" TargetMode="External"/><Relationship Id="rId10" Type="http://schemas.openxmlformats.org/officeDocument/2006/relationships/hyperlink" Target="https://www.census.gov/content/dam/Census/library/publications/2018/demo/p60-265.pdf" TargetMode="External"/><Relationship Id="rId19" Type="http://schemas.openxmlformats.org/officeDocument/2006/relationships/vmlDrawing" Target="../drawings/vmlDrawing2.vml"/><Relationship Id="rId4" Type="http://schemas.openxmlformats.org/officeDocument/2006/relationships/hyperlink" Target="http://ftp.iza.org/dp11234.pdf" TargetMode="External"/><Relationship Id="rId9" Type="http://schemas.openxmlformats.org/officeDocument/2006/relationships/hyperlink" Target="https://source.wustl.edu/2018/04/childhood-poverty-cost-u-s-1-03-trillion-in-a-year-study-finds/" TargetMode="External"/><Relationship Id="rId14" Type="http://schemas.openxmlformats.org/officeDocument/2006/relationships/hyperlink" Target="https://jamanetwork.com/journals/jamanetworkopen/fullarticle/2778453"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choolnutrition.org/aboutschoolmeals/schoolmealtrendsstat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204AE-F8A9-4042-91B5-3EB3261D5CA5}">
  <sheetPr codeName="Sheet1">
    <tabColor rgb="FF92D050"/>
  </sheetPr>
  <dimension ref="A2:V43"/>
  <sheetViews>
    <sheetView showGridLines="0" tabSelected="1" zoomScale="112" zoomScaleNormal="70" workbookViewId="0"/>
  </sheetViews>
  <sheetFormatPr defaultColWidth="8.6640625" defaultRowHeight="14" x14ac:dyDescent="0.3"/>
  <cols>
    <col min="1" max="1" width="2.6640625" style="3" customWidth="1"/>
    <col min="2" max="2" width="15" style="3" bestFit="1" customWidth="1"/>
    <col min="3" max="3" width="38.6640625" style="3" customWidth="1"/>
    <col min="4" max="4" width="18.83203125" style="4" customWidth="1"/>
    <col min="5" max="6" width="20.5" style="3" bestFit="1" customWidth="1"/>
    <col min="7" max="7" width="20.5" style="3" customWidth="1"/>
    <col min="8" max="8" width="8.6640625" style="3"/>
    <col min="9" max="9" width="2.6640625" style="3" customWidth="1"/>
    <col min="10" max="14" width="18.58203125" style="3" customWidth="1"/>
    <col min="15" max="15" width="8.6640625" style="3"/>
    <col min="16" max="21" width="18.58203125" style="3" customWidth="1"/>
    <col min="22" max="16384" width="8.6640625" style="3"/>
  </cols>
  <sheetData>
    <row r="2" spans="1:22" ht="26" customHeight="1" x14ac:dyDescent="0.4">
      <c r="B2" s="242" t="s">
        <v>456</v>
      </c>
      <c r="C2" s="149"/>
      <c r="D2" s="149"/>
      <c r="E2" s="149"/>
      <c r="F2" s="149"/>
      <c r="G2" s="149"/>
    </row>
    <row r="3" spans="1:22" ht="14" customHeight="1" x14ac:dyDescent="0.3">
      <c r="B3"/>
      <c r="C3"/>
      <c r="D3"/>
      <c r="E3"/>
      <c r="F3"/>
      <c r="G3"/>
    </row>
    <row r="4" spans="1:22" ht="78" customHeight="1" x14ac:dyDescent="0.3">
      <c r="B4" s="451" t="s">
        <v>459</v>
      </c>
      <c r="C4" s="452"/>
      <c r="D4" s="253" t="str">
        <f>D14</f>
        <v>Baseline (bn USD)</v>
      </c>
      <c r="E4" s="253" t="str">
        <f>E14</f>
        <v>Maximizing participation of the current school meals program (bn USD)</v>
      </c>
      <c r="F4" s="253" t="str">
        <f>F14</f>
        <v>Improving dietary composition to a healthy Mediterranean diet (bn USD)</v>
      </c>
      <c r="G4" s="253" t="s">
        <v>707</v>
      </c>
    </row>
    <row r="5" spans="1:22" x14ac:dyDescent="0.3">
      <c r="B5" s="451"/>
      <c r="C5" s="452"/>
      <c r="D5" s="252">
        <f>D36-D9</f>
        <v>20.758881695987501</v>
      </c>
      <c r="E5" s="252">
        <f>E36-E9</f>
        <v>7.4905875140299543</v>
      </c>
      <c r="F5" s="252">
        <f>F36-F9</f>
        <v>1.5171299162565335</v>
      </c>
      <c r="G5" s="252">
        <f>G36-G9</f>
        <v>1.2831172808350828</v>
      </c>
    </row>
    <row r="8" spans="1:22" ht="79.5" customHeight="1" x14ac:dyDescent="0.3">
      <c r="B8" s="450" t="s">
        <v>460</v>
      </c>
      <c r="C8" s="450"/>
      <c r="D8" s="253" t="str">
        <f>D14</f>
        <v>Baseline (bn USD)</v>
      </c>
      <c r="E8" s="253" t="str">
        <f>E14</f>
        <v>Maximizing participation of the current school meals program (bn USD)</v>
      </c>
      <c r="F8" s="253" t="str">
        <f>F14</f>
        <v>Improving dietary composition to a healthy Mediterranean diet (bn USD)</v>
      </c>
      <c r="G8" s="253" t="s">
        <v>707</v>
      </c>
    </row>
    <row r="9" spans="1:22" x14ac:dyDescent="0.3">
      <c r="B9" s="450"/>
      <c r="C9" s="450"/>
      <c r="D9" s="252">
        <f>'Baseline without discounts'!C21</f>
        <v>18.7</v>
      </c>
      <c r="E9" s="252">
        <f>'L1Maximizing Participation &gt;&gt;&gt;'!C18</f>
        <v>13.091314135760271</v>
      </c>
      <c r="F9" s="252">
        <f>'L2 Improved Diet Composition &gt;&gt;'!C18</f>
        <v>3.5248919999999995</v>
      </c>
      <c r="G9" s="252">
        <v>0</v>
      </c>
      <c r="H9" s="107"/>
    </row>
    <row r="10" spans="1:22" x14ac:dyDescent="0.3">
      <c r="B10" s="4"/>
      <c r="D10" s="17"/>
      <c r="N10"/>
    </row>
    <row r="11" spans="1:22" x14ac:dyDescent="0.3">
      <c r="B11" s="56" t="s">
        <v>458</v>
      </c>
      <c r="C11" s="250"/>
      <c r="D11" s="251"/>
      <c r="E11" s="250"/>
      <c r="F11" s="250"/>
      <c r="G11" s="250"/>
      <c r="H11" s="250"/>
      <c r="I11" s="250"/>
      <c r="J11" s="250"/>
      <c r="K11" s="250"/>
      <c r="L11" s="250"/>
      <c r="M11" s="250"/>
      <c r="N11"/>
      <c r="O11"/>
      <c r="P11"/>
      <c r="Q11"/>
      <c r="R11"/>
      <c r="S11"/>
      <c r="T11"/>
      <c r="U11"/>
      <c r="V11"/>
    </row>
    <row r="12" spans="1:22" x14ac:dyDescent="0.3">
      <c r="B12" s="17"/>
      <c r="C12" s="17"/>
      <c r="D12" s="37"/>
      <c r="E12" s="17"/>
      <c r="F12" s="17"/>
      <c r="G12" s="17"/>
      <c r="N12"/>
      <c r="O12"/>
      <c r="P12"/>
      <c r="Q12"/>
      <c r="R12"/>
      <c r="S12"/>
      <c r="T12"/>
      <c r="U12"/>
      <c r="V12"/>
    </row>
    <row r="13" spans="1:22" x14ac:dyDescent="0.3">
      <c r="B13" s="4" t="s">
        <v>539</v>
      </c>
      <c r="D13"/>
      <c r="J13" s="4" t="s">
        <v>540</v>
      </c>
      <c r="N13"/>
      <c r="O13"/>
      <c r="P13"/>
      <c r="Q13"/>
      <c r="R13"/>
      <c r="S13"/>
      <c r="T13"/>
      <c r="U13"/>
      <c r="V13"/>
    </row>
    <row r="14" spans="1:22" ht="74" customHeight="1" x14ac:dyDescent="0.3">
      <c r="B14" s="13" t="s">
        <v>8</v>
      </c>
      <c r="C14" s="13" t="s">
        <v>7</v>
      </c>
      <c r="D14" s="253" t="s">
        <v>457</v>
      </c>
      <c r="E14" s="253" t="s">
        <v>720</v>
      </c>
      <c r="F14" s="253" t="s">
        <v>461</v>
      </c>
      <c r="G14" s="253" t="s">
        <v>707</v>
      </c>
      <c r="J14" s="43" t="s">
        <v>8</v>
      </c>
      <c r="K14" s="253" t="s">
        <v>457</v>
      </c>
      <c r="L14" s="253" t="s">
        <v>720</v>
      </c>
      <c r="M14" s="253" t="s">
        <v>461</v>
      </c>
      <c r="N14" s="253" t="s">
        <v>707</v>
      </c>
    </row>
    <row r="15" spans="1:22" x14ac:dyDescent="0.3">
      <c r="A15" s="7"/>
      <c r="B15" s="374" t="s">
        <v>12</v>
      </c>
      <c r="C15" s="96" t="s">
        <v>17</v>
      </c>
      <c r="D15" s="375">
        <f>IFERROR(INDEX('Baseline with discounts &gt;&gt;&gt;'!$F$17:$F$43,MATCH(Overview!C15,'Baseline with discounts &gt;&gt;&gt;'!$C$17:$C$43,0)),0)</f>
        <v>0.38763086563614074</v>
      </c>
      <c r="E15" s="362">
        <f>IFERROR(INDEX('L1Maximizing Participation &gt;&gt;&gt;'!$F$27:$F$49,MATCH(Overview!C15,'L1Maximizing Participation &gt;&gt;&gt;'!$C$27:$C$49,0)),0)</f>
        <v>0.15426943150000846</v>
      </c>
      <c r="F15" s="363">
        <f>IFERROR(INDEX('L2 Improved Diet Composition &gt;&gt;'!$F$23:$F$49,MATCH(Overview!C15,'L2 Improved Diet Composition &gt;&gt;'!$C$23:$C$49,0)),0)</f>
        <v>-4.3129998958124145E-2</v>
      </c>
      <c r="G15" s="363">
        <f>IFERROR(INDEX('L3Optimizing Procurement &gt;&gt;&gt;'!$G$19:$G$22,MATCH(Overview!C15,'L3Optimizing Procurement &gt;&gt;&gt;'!$D$19:$D$22,0)),0)</f>
        <v>0.23416902111849433</v>
      </c>
      <c r="H15" s="27"/>
      <c r="I15" s="7"/>
      <c r="J15" s="6" t="s">
        <v>12</v>
      </c>
      <c r="K15" s="442">
        <f>SUMIFS(D$15:D$35,$B$15:$B$35,$J15)</f>
        <v>0.71570751509263397</v>
      </c>
      <c r="L15" s="136">
        <f>SUMIFS(E$15:E$35,$B$15:$B$35,$J15)</f>
        <v>4.2714767344513431</v>
      </c>
      <c r="M15" s="136">
        <f>SUMIFS(F$15:F$35,$B$15:$B$35,$J15)</f>
        <v>-2.1289617947921724E-2</v>
      </c>
      <c r="N15" s="136">
        <f>SUMIFS(G$15:G$35,$B$15:$B$35,$J15)</f>
        <v>0.31168514083508275</v>
      </c>
    </row>
    <row r="16" spans="1:22" x14ac:dyDescent="0.3">
      <c r="A16" s="7"/>
      <c r="B16" s="374" t="s">
        <v>12</v>
      </c>
      <c r="C16" s="96" t="s">
        <v>18</v>
      </c>
      <c r="D16" s="375">
        <f>IFERROR(INDEX('Baseline with discounts &gt;&gt;&gt;'!$F$17:$F$43,MATCH(Overview!C16,'Baseline with discounts &gt;&gt;&gt;'!$C$17:$C$43,0)),0)</f>
        <v>0.10699811888522762</v>
      </c>
      <c r="E16" s="362">
        <f>IFERROR(INDEX('L1Maximizing Participation &gt;&gt;&gt;'!$F$27:$F$49,MATCH(Overview!C16,'L1Maximizing Participation &gt;&gt;&gt;'!$C$27:$C$49,0)),0)</f>
        <v>4.2583138845007903E-2</v>
      </c>
      <c r="F16" s="363">
        <f>IFERROR(INDEX('L2 Improved Diet Composition &gt;&gt;'!$F$23:$F$49,MATCH(Overview!C16,'L2 Improved Diet Composition &gt;&gt;'!$C$23:$C$49,0)),0)</f>
        <v>-1.5735017483121708E-3</v>
      </c>
      <c r="G16" s="363">
        <f>IFERROR(INDEX('L3Optimizing Procurement &gt;&gt;&gt;'!$G$19:$G$22,MATCH(Overview!C16,'L3Optimizing Procurement &gt;&gt;&gt;'!$D$19:$D$22,0)),0)</f>
        <v>7.7516119716588422E-2</v>
      </c>
      <c r="I16" s="8"/>
      <c r="J16" s="6" t="s">
        <v>1</v>
      </c>
      <c r="K16" s="442">
        <f t="shared" ref="K16:K20" si="0">SUMIFS(D$15:D$35,$B$15:$B$35,$J16)</f>
        <v>1.5241184184955778</v>
      </c>
      <c r="L16" s="136">
        <f t="shared" ref="L16:L20" si="1">SUMIFS(E$15:E$35,$B$15:$B$35,$J16)</f>
        <v>0.6065690397851613</v>
      </c>
      <c r="M16" s="136">
        <f t="shared" ref="M16:M20" si="2">SUMIFS(F$15:F$35,$B$15:$B$35,$J16)</f>
        <v>0.16950732030088739</v>
      </c>
      <c r="N16" s="136">
        <f t="shared" ref="N16:N20" si="3">SUMIFS(G$15:G$35,$B$15:$B$35,$J16)</f>
        <v>0</v>
      </c>
    </row>
    <row r="17" spans="1:14" x14ac:dyDescent="0.3">
      <c r="A17" s="7"/>
      <c r="B17" s="374" t="s">
        <v>12</v>
      </c>
      <c r="C17" s="96" t="s">
        <v>0</v>
      </c>
      <c r="D17" s="375">
        <f>IFERROR(INDEX('Baseline with discounts &gt;&gt;&gt;'!$F$17:$F$43,MATCH(Overview!C17,'Baseline with discounts &gt;&gt;&gt;'!$C$17:$C$43,0)),0)</f>
        <v>0.22107853057126556</v>
      </c>
      <c r="E17" s="362">
        <f>IFERROR(INDEX('L1Maximizing Participation &gt;&gt;&gt;'!$F$27:$F$49,MATCH(Overview!C17,'L1Maximizing Participation &gt;&gt;&gt;'!$C$27:$C$49,0)),0)</f>
        <v>8.7984890398538337E-2</v>
      </c>
      <c r="F17" s="363">
        <f>IFERROR(INDEX('L2 Improved Diet Composition &gt;&gt;'!$F$23:$F$49,MATCH(Overview!C17,'L2 Improved Diet Composition &gt;&gt;'!$C$23:$C$49,0)),0)</f>
        <v>2.3413882758514595E-2</v>
      </c>
      <c r="G17" s="363">
        <f>IFERROR(INDEX('L3Optimizing Procurement &gt;&gt;&gt;'!$G$19:$G$22,MATCH(Overview!C17,'L3Optimizing Procurement &gt;&gt;&gt;'!$D$19:$D$22,0)),0)</f>
        <v>0</v>
      </c>
      <c r="I17" s="9"/>
      <c r="J17" s="6" t="s">
        <v>3</v>
      </c>
      <c r="K17" s="136">
        <f t="shared" si="0"/>
        <v>0</v>
      </c>
      <c r="L17" s="136">
        <f t="shared" si="1"/>
        <v>0</v>
      </c>
      <c r="M17" s="136">
        <f t="shared" si="2"/>
        <v>0</v>
      </c>
      <c r="N17" s="136">
        <f t="shared" si="3"/>
        <v>0.97143214</v>
      </c>
    </row>
    <row r="18" spans="1:14" x14ac:dyDescent="0.3">
      <c r="A18" s="7"/>
      <c r="B18" s="374" t="s">
        <v>12</v>
      </c>
      <c r="C18" s="376" t="s">
        <v>627</v>
      </c>
      <c r="D18" s="375">
        <f>IFERROR(INDEX('Baseline with discounts &gt;&gt;&gt;'!$F$17:$F$43,MATCH(Overview!C18,'Baseline with discounts &gt;&gt;&gt;'!$C$17:$C$43,0)),0)</f>
        <v>0</v>
      </c>
      <c r="E18" s="362">
        <f>IFERROR(INDEX('L1Maximizing Participation &gt;&gt;&gt;'!$F$27:$F$49,MATCH(Overview!C18,'L1Maximizing Participation &gt;&gt;&gt;'!$C$27:$C$49,0)),0)</f>
        <v>3.9866392737077887</v>
      </c>
      <c r="F18" s="363">
        <f>IFERROR(INDEX('L2 Improved Diet Composition &gt;&gt;'!$F$23:$F$49,MATCH(Overview!C18,'L2 Improved Diet Composition &gt;&gt;'!$C$23:$C$49,0)),0)</f>
        <v>0</v>
      </c>
      <c r="G18" s="363">
        <f>IFERROR(INDEX('L3Optimizing Procurement &gt;&gt;&gt;'!$G$19:$G$22,MATCH(Overview!C18,'L3Optimizing Procurement &gt;&gt;&gt;'!$D$19:$D$22,0)),0)</f>
        <v>0</v>
      </c>
      <c r="I18" s="10"/>
      <c r="J18" s="6" t="s">
        <v>4</v>
      </c>
      <c r="K18" s="136">
        <f t="shared" si="0"/>
        <v>0</v>
      </c>
      <c r="L18" s="136">
        <f t="shared" si="1"/>
        <v>0</v>
      </c>
      <c r="M18" s="136">
        <f t="shared" si="2"/>
        <v>0</v>
      </c>
      <c r="N18" s="136">
        <f t="shared" si="3"/>
        <v>0</v>
      </c>
    </row>
    <row r="19" spans="1:14" x14ac:dyDescent="0.3">
      <c r="A19" s="8"/>
      <c r="B19" s="360" t="s">
        <v>1</v>
      </c>
      <c r="C19" s="96" t="s">
        <v>2</v>
      </c>
      <c r="D19" s="375">
        <f>IFERROR(INDEX('Baseline with discounts &gt;&gt;&gt;'!$F$17:$F$43,MATCH(Overview!C19,'Baseline with discounts &gt;&gt;&gt;'!$C$17:$C$43,0)),0)</f>
        <v>1.1335143143346389</v>
      </c>
      <c r="E19" s="362">
        <f>IFERROR(INDEX('L1Maximizing Participation &gt;&gt;&gt;'!$F$27:$F$49,MATCH(Overview!C19,'L1Maximizing Participation &gt;&gt;&gt;'!$C$27:$C$49,0)),0)</f>
        <v>0.45111631805313845</v>
      </c>
      <c r="F19" s="363">
        <f>IFERROR(INDEX('L2 Improved Diet Composition &gt;&gt;'!$F$23:$F$49,MATCH(Overview!C19,'L2 Improved Diet Composition &gt;&gt;'!$C$23:$C$49,0)),0)</f>
        <v>0.12004770970908019</v>
      </c>
      <c r="G19" s="363">
        <f>IFERROR(INDEX('L3Optimizing Procurement &gt;&gt;&gt;'!$G$19:$G$22,MATCH(Overview!C19,'L3Optimizing Procurement &gt;&gt;&gt;'!$D$19:$D$22,0)),0)</f>
        <v>0</v>
      </c>
      <c r="I19" s="11"/>
      <c r="J19" s="6" t="s">
        <v>538</v>
      </c>
      <c r="K19" s="136">
        <f t="shared" si="0"/>
        <v>4.2017488459923866</v>
      </c>
      <c r="L19" s="136">
        <f t="shared" si="1"/>
        <v>1.6722130852848864</v>
      </c>
      <c r="M19" s="136">
        <f t="shared" si="2"/>
        <v>1.0155196004041043</v>
      </c>
      <c r="N19" s="136">
        <f t="shared" si="3"/>
        <v>0</v>
      </c>
    </row>
    <row r="20" spans="1:14" x14ac:dyDescent="0.3">
      <c r="A20" s="8"/>
      <c r="B20" s="360" t="s">
        <v>1</v>
      </c>
      <c r="C20" s="96" t="s">
        <v>19</v>
      </c>
      <c r="D20" s="375">
        <f>IFERROR(INDEX('Baseline with discounts &gt;&gt;&gt;'!$F$17:$F$43,MATCH(Overview!C20,'Baseline with discounts &gt;&gt;&gt;'!$C$17:$C$43,0)),0)</f>
        <v>0.39060410416093894</v>
      </c>
      <c r="E20" s="362">
        <f>IFERROR(INDEX('L1Maximizing Participation &gt;&gt;&gt;'!$F$27:$F$49,MATCH(Overview!C20,'L1Maximizing Participation &gt;&gt;&gt;'!$C$27:$C$49,0)),0)</f>
        <v>0.1554527217320229</v>
      </c>
      <c r="F20" s="363">
        <f>IFERROR(INDEX('L2 Improved Diet Composition &gt;&gt;'!$F$23:$F$49,MATCH(Overview!C20,'L2 Improved Diet Composition &gt;&gt;'!$C$23:$C$49,0)),0)</f>
        <v>4.9459610591807195E-2</v>
      </c>
      <c r="G20" s="363">
        <f>IFERROR(INDEX('L3Optimizing Procurement &gt;&gt;&gt;'!$G$19:$G$22,MATCH(Overview!C20,'L3Optimizing Procurement &gt;&gt;&gt;'!$D$19:$D$22,0)),0)</f>
        <v>0</v>
      </c>
      <c r="I20" s="249"/>
      <c r="J20" s="275" t="s">
        <v>541</v>
      </c>
      <c r="K20" s="136">
        <f t="shared" si="0"/>
        <v>35.257132849995116</v>
      </c>
      <c r="L20" s="136">
        <f t="shared" si="1"/>
        <v>14.031642790268833</v>
      </c>
      <c r="M20" s="136">
        <f t="shared" si="2"/>
        <v>3.8782846134994631</v>
      </c>
      <c r="N20" s="136">
        <f t="shared" si="3"/>
        <v>0</v>
      </c>
    </row>
    <row r="21" spans="1:14" x14ac:dyDescent="0.3">
      <c r="A21" s="9"/>
      <c r="B21" s="360" t="s">
        <v>3</v>
      </c>
      <c r="C21" s="377" t="s">
        <v>567</v>
      </c>
      <c r="D21" s="361">
        <f>IFERROR(INDEX('Baseline with discounts &gt;&gt;&gt;'!$F$17:$F$43,MATCH(Overview!C21,'Baseline with discounts &gt;&gt;&gt;'!$C$17:$C$43,0)),0)</f>
        <v>0</v>
      </c>
      <c r="E21" s="362">
        <f>IFERROR(INDEX('L1Maximizing Participation &gt;&gt;&gt;'!$F$27:$F$49,MATCH(Overview!C21,'L1Maximizing Participation &gt;&gt;&gt;'!$C$27:$C$49,0)),0)</f>
        <v>0</v>
      </c>
      <c r="F21" s="363">
        <f>IFERROR(INDEX('L2 Improved Diet Composition &gt;&gt;'!$F$23:$F$49,MATCH(Overview!C21,'L2 Improved Diet Composition &gt;&gt;'!$C$23:$C$49,0)),0)</f>
        <v>0</v>
      </c>
      <c r="G21" s="363">
        <f>IFERROR(INDEX('L3Optimizing Procurement &gt;&gt;&gt;'!$G$19:$G$22,MATCH(Overview!C21,'L3Optimizing Procurement &gt;&gt;&gt;'!$D$19:$D$22,0)),0)</f>
        <v>0</v>
      </c>
      <c r="H21" s="5"/>
      <c r="I21"/>
      <c r="J21" s="13" t="s">
        <v>72</v>
      </c>
      <c r="K21" s="252">
        <f>SUM(K17:K20)</f>
        <v>39.4588816959875</v>
      </c>
      <c r="L21" s="252">
        <f>SUM(L15:L20)</f>
        <v>20.581901649790225</v>
      </c>
      <c r="M21" s="252">
        <f>SUM(M15:M20)</f>
        <v>5.042021916256533</v>
      </c>
      <c r="N21" s="252">
        <f>SUM(N15:N20)</f>
        <v>1.2831172808350828</v>
      </c>
    </row>
    <row r="22" spans="1:14" x14ac:dyDescent="0.3">
      <c r="A22" s="9"/>
      <c r="B22" s="360" t="s">
        <v>3</v>
      </c>
      <c r="C22" s="96" t="s">
        <v>20</v>
      </c>
      <c r="D22" s="361">
        <f>IFERROR(INDEX('Baseline with discounts &gt;&gt;&gt;'!$F$17:$F$43,MATCH(Overview!C22,'Baseline with discounts &gt;&gt;&gt;'!$C$17:$C$43,0)),0)</f>
        <v>0</v>
      </c>
      <c r="E22" s="362">
        <f>IFERROR(INDEX('L1Maximizing Participation &gt;&gt;&gt;'!$F$27:$F$49,MATCH(Overview!C22,'L1Maximizing Participation &gt;&gt;&gt;'!$C$27:$C$49,0)),0)</f>
        <v>0</v>
      </c>
      <c r="F22" s="363">
        <f>IFERROR(INDEX('L2 Improved Diet Composition &gt;&gt;'!$F$23:$F$49,MATCH(Overview!C22,'L2 Improved Diet Composition &gt;&gt;'!$C$23:$C$49,0)),0)</f>
        <v>0</v>
      </c>
      <c r="G22" s="363">
        <f>IFERROR(INDEX('L3Optimizing Procurement &gt;&gt;&gt;'!$G$19:$G$22,MATCH(Overview!C22,'L3Optimizing Procurement &gt;&gt;&gt;'!$D$19:$D$22,0)),0)</f>
        <v>0</v>
      </c>
      <c r="H22" s="5"/>
      <c r="I22"/>
    </row>
    <row r="23" spans="1:14" x14ac:dyDescent="0.3">
      <c r="A23" s="9"/>
      <c r="B23" s="360" t="s">
        <v>3</v>
      </c>
      <c r="C23" s="96" t="s">
        <v>21</v>
      </c>
      <c r="D23" s="361">
        <f>IFERROR(INDEX('Baseline with discounts &gt;&gt;&gt;'!$F$17:$F$43,MATCH(Overview!C23,'Baseline with discounts &gt;&gt;&gt;'!$C$17:$C$43,0)),0)</f>
        <v>0</v>
      </c>
      <c r="E23" s="362">
        <f>IFERROR(INDEX('L1Maximizing Participation &gt;&gt;&gt;'!$F$27:$F$49,MATCH(Overview!C23,'L1Maximizing Participation &gt;&gt;&gt;'!$C$27:$C$49,0)),0)</f>
        <v>0</v>
      </c>
      <c r="F23" s="363">
        <f>IFERROR(INDEX('L2 Improved Diet Composition &gt;&gt;'!$F$23:$F$49,MATCH(Overview!C23,'L2 Improved Diet Composition &gt;&gt;'!$C$23:$C$49,0)),0)</f>
        <v>0</v>
      </c>
      <c r="G23" s="363">
        <f>IFERROR(INDEX('L3Optimizing Procurement &gt;&gt;&gt;'!$G$19:$G$22,MATCH(Overview!C23,'L3Optimizing Procurement &gt;&gt;&gt;'!$D$19:$D$22,0)),0)</f>
        <v>0</v>
      </c>
      <c r="H23" s="5"/>
      <c r="I23"/>
    </row>
    <row r="24" spans="1:14" x14ac:dyDescent="0.3">
      <c r="A24" s="9"/>
      <c r="B24" s="360" t="s">
        <v>3</v>
      </c>
      <c r="C24" s="96" t="s">
        <v>22</v>
      </c>
      <c r="D24" s="361">
        <f>IFERROR(INDEX('Baseline with discounts &gt;&gt;&gt;'!$F$17:$F$43,MATCH(Overview!C24,'Baseline with discounts &gt;&gt;&gt;'!$C$17:$C$43,0)),0)</f>
        <v>0</v>
      </c>
      <c r="E24" s="362">
        <f>IFERROR(INDEX('L1Maximizing Participation &gt;&gt;&gt;'!$F$27:$F$49,MATCH(Overview!C24,'L1Maximizing Participation &gt;&gt;&gt;'!$C$27:$C$49,0)),0)</f>
        <v>0</v>
      </c>
      <c r="F24" s="363">
        <f>IFERROR(INDEX('L2 Improved Diet Composition &gt;&gt;'!$F$23:$F$49,MATCH(Overview!C24,'L2 Improved Diet Composition &gt;&gt;'!$C$23:$C$49,0)),0)</f>
        <v>0</v>
      </c>
      <c r="G24" s="363">
        <f>IFERROR(INDEX('L3Optimizing Procurement &gt;&gt;&gt;'!$G$19:$G$22,MATCH(Overview!C24,'L3Optimizing Procurement &gt;&gt;&gt;'!$D$19:$D$22,0)),0)</f>
        <v>0</v>
      </c>
      <c r="H24" s="5"/>
    </row>
    <row r="25" spans="1:14" x14ac:dyDescent="0.3">
      <c r="A25" s="9"/>
      <c r="B25" s="360" t="s">
        <v>3</v>
      </c>
      <c r="C25" s="96" t="s">
        <v>705</v>
      </c>
      <c r="D25" s="361">
        <f>IFERROR(INDEX('Baseline with discounts &gt;&gt;&gt;'!$F$17:$F$43,MATCH(Overview!C25,'Baseline with discounts &gt;&gt;&gt;'!$C$17:$C$43,0)),0)</f>
        <v>0</v>
      </c>
      <c r="E25" s="362">
        <f>IFERROR(INDEX('L1Maximizing Participation &gt;&gt;&gt;'!$F$27:$F$49,MATCH(Overview!C25,'L1Maximizing Participation &gt;&gt;&gt;'!$C$27:$C$49,0)),0)</f>
        <v>0</v>
      </c>
      <c r="F25" s="363">
        <f>IFERROR(INDEX('L2 Improved Diet Composition &gt;&gt;'!$F$23:$F$49,MATCH(Overview!C25,'L2 Improved Diet Composition &gt;&gt;'!$C$23:$C$49,0)),0)</f>
        <v>0</v>
      </c>
      <c r="G25" s="363">
        <f>IFERROR(INDEX('L3Optimizing Procurement &gt;&gt;&gt;'!$G$19:$G$22,MATCH(Overview!C25,'L3Optimizing Procurement &gt;&gt;&gt;'!$D$19:$D$22,0)),0)</f>
        <v>0.97143214</v>
      </c>
      <c r="H25" s="5"/>
    </row>
    <row r="26" spans="1:14" x14ac:dyDescent="0.3">
      <c r="A26" s="10"/>
      <c r="B26" s="360" t="s">
        <v>4</v>
      </c>
      <c r="C26" s="378" t="s">
        <v>312</v>
      </c>
      <c r="D26" s="361">
        <f>IFERROR(INDEX('Baseline with discounts &gt;&gt;&gt;'!$F$17:$F$43,MATCH(Overview!C26,'Baseline with discounts &gt;&gt;&gt;'!$C$17:$C$43,0)),0)</f>
        <v>0</v>
      </c>
      <c r="E26" s="362">
        <f>IFERROR(INDEX('L1Maximizing Participation &gt;&gt;&gt;'!$F$27:$F$49,MATCH(Overview!C26,'L1Maximizing Participation &gt;&gt;&gt;'!$C$27:$C$49,0)),0)</f>
        <v>0</v>
      </c>
      <c r="F26" s="363">
        <f>IFERROR(INDEX('L2 Improved Diet Composition &gt;&gt;'!$F$23:$F$49,MATCH(Overview!C26,'L2 Improved Diet Composition &gt;&gt;'!$C$23:$C$49,0)),0)</f>
        <v>0</v>
      </c>
      <c r="G26" s="363">
        <f>IFERROR(INDEX('L3Optimizing Procurement &gt;&gt;&gt;'!$G$19:$G$22,MATCH(Overview!C26,'L3Optimizing Procurement &gt;&gt;&gt;'!$D$19:$D$22,0)),0)</f>
        <v>0</v>
      </c>
      <c r="H26" s="5"/>
    </row>
    <row r="27" spans="1:14" s="364" customFormat="1" x14ac:dyDescent="0.3">
      <c r="A27" s="359"/>
      <c r="B27" s="360" t="s">
        <v>5</v>
      </c>
      <c r="C27" s="96" t="s">
        <v>24</v>
      </c>
      <c r="D27" s="361">
        <f>IFERROR(INDEX('Baseline with discounts &gt;&gt;&gt;'!$F$17:$F$43,MATCH(Overview!C27,'Baseline with discounts &gt;&gt;&gt;'!$C$17:$C$43,0)),0)</f>
        <v>6.2717748317090316E-2</v>
      </c>
      <c r="E27" s="362">
        <f>IFERROR(INDEX('L1Maximizing Participation &gt;&gt;&gt;'!$F$27:$F$49,MATCH(Overview!C27,'L1Maximizing Participation &gt;&gt;&gt;'!$C$27:$C$49,0)),0)</f>
        <v>2.4960425589329149E-2</v>
      </c>
      <c r="F27" s="363">
        <f>IFERROR(INDEX('L2 Improved Diet Composition &gt;&gt;'!$F$23:$F$49,MATCH(Overview!C27,'L2 Improved Diet Composition &gt;&gt;'!$C$23:$C$49,0)),0)</f>
        <v>7.9415330661250713E-3</v>
      </c>
      <c r="G27" s="363">
        <f>IFERROR(INDEX('L3Optimizing Procurement &gt;&gt;&gt;'!$G$19:$G$22,MATCH(Overview!C27,'L3Optimizing Procurement &gt;&gt;&gt;'!$D$19:$D$22,0)),0)</f>
        <v>0</v>
      </c>
      <c r="H27" s="19"/>
    </row>
    <row r="28" spans="1:14" s="364" customFormat="1" x14ac:dyDescent="0.3">
      <c r="A28" s="359"/>
      <c r="B28" s="360" t="s">
        <v>5</v>
      </c>
      <c r="C28" s="96" t="s">
        <v>629</v>
      </c>
      <c r="D28" s="361">
        <f>IFERROR(INDEX('Baseline with discounts &gt;&gt;&gt;'!$F$17:$F$43,MATCH(Overview!C28,'Baseline with discounts &gt;&gt;&gt;'!$C$17:$C$43,0)),0)</f>
        <v>0.7505148705956568</v>
      </c>
      <c r="E28" s="362">
        <f>IFERROR(INDEX('L1Maximizing Participation &gt;&gt;&gt;'!$F$27:$F$49,MATCH(Overview!C28,'L1Maximizing Participation &gt;&gt;&gt;'!$C$27:$C$49,0)),0)</f>
        <v>0.29869010102971411</v>
      </c>
      <c r="F28" s="363">
        <f>IFERROR(INDEX('L2 Improved Diet Composition &gt;&gt;'!$F$23:$F$49,MATCH(Overview!C28,'L2 Improved Diet Composition &gt;&gt;'!$C$23:$C$49,0)),0)</f>
        <v>0.63484128235921888</v>
      </c>
      <c r="G28" s="363">
        <f>IFERROR(INDEX('L3Optimizing Procurement &gt;&gt;&gt;'!$G$19:$G$22,MATCH(Overview!C28,'L3Optimizing Procurement &gt;&gt;&gt;'!$D$19:$D$22,0)),0)</f>
        <v>0</v>
      </c>
    </row>
    <row r="29" spans="1:14" s="364" customFormat="1" x14ac:dyDescent="0.3">
      <c r="A29" s="359"/>
      <c r="B29" s="365" t="s">
        <v>5</v>
      </c>
      <c r="C29" s="366" t="s">
        <v>6</v>
      </c>
      <c r="D29" s="361">
        <f>IFERROR(INDEX('Baseline with discounts &gt;&gt;&gt;'!$F$17:$F$43,MATCH(Overview!C29,'Baseline with discounts &gt;&gt;&gt;'!$C$17:$C$43,0)),0)</f>
        <v>3.3885162270796396</v>
      </c>
      <c r="E29" s="362">
        <f>IFERROR(INDEX('L1Maximizing Participation &gt;&gt;&gt;'!$F$27:$F$49,MATCH(Overview!C29,'L1Maximizing Participation &gt;&gt;&gt;'!$C$27:$C$49,0)),0)</f>
        <v>1.3485625586658432</v>
      </c>
      <c r="F29" s="363">
        <f>IFERROR(INDEX('L2 Improved Diet Composition &gt;&gt;'!$F$23:$F$49,MATCH(Overview!C29,'L2 Improved Diet Composition &gt;&gt;'!$C$23:$C$49,0)),0)</f>
        <v>0.37273678497876034</v>
      </c>
      <c r="G29" s="363">
        <f>IFERROR(INDEX('L3Optimizing Procurement &gt;&gt;&gt;'!$G$19:$G$22,MATCH(Overview!C29,'L3Optimizing Procurement &gt;&gt;&gt;'!$D$19:$D$22,0)),0)</f>
        <v>0</v>
      </c>
    </row>
    <row r="30" spans="1:14" s="364" customFormat="1" ht="28" x14ac:dyDescent="0.3">
      <c r="A30" s="367"/>
      <c r="B30" s="365" t="s">
        <v>541</v>
      </c>
      <c r="C30" s="366" t="s">
        <v>488</v>
      </c>
      <c r="D30" s="361">
        <f>IFERROR(INDEX('Baseline with discounts &gt;&gt;&gt;'!$F$17:$F$43,MATCH(Overview!C30,'Baseline with discounts &gt;&gt;&gt;'!$C$17:$C$43,0)),0)</f>
        <v>10.135644776518481</v>
      </c>
      <c r="E30" s="362">
        <f>IFERROR(INDEX('L1Maximizing Participation &gt;&gt;&gt;'!$F$27:$F$49,MATCH(Overview!C30,'L1Maximizing Participation &gt;&gt;&gt;'!$C$27:$C$49,0)),0)</f>
        <v>4.0337865123136689</v>
      </c>
      <c r="F30" s="363">
        <f>IFERROR(INDEX('L2 Improved Diet Composition &gt;&gt;'!$F$23:$F$49,MATCH(Overview!C30,'L2 Improved Diet Composition &gt;&gt;'!$C$23:$C$49,0)),0)</f>
        <v>1.1149209254170329</v>
      </c>
      <c r="G30" s="363">
        <f>IFERROR(INDEX('L3Optimizing Procurement &gt;&gt;&gt;'!$G$19:$G$22,MATCH(Overview!C30,'L3Optimizing Procurement &gt;&gt;&gt;'!$D$19:$D$22,0)),0)</f>
        <v>0</v>
      </c>
    </row>
    <row r="31" spans="1:14" s="364" customFormat="1" ht="28" x14ac:dyDescent="0.3">
      <c r="A31" s="367"/>
      <c r="B31" s="365" t="s">
        <v>541</v>
      </c>
      <c r="C31" s="366" t="s">
        <v>490</v>
      </c>
      <c r="D31" s="361">
        <f>IFERROR(INDEX('Baseline with discounts &gt;&gt;&gt;'!$F$17:$F$43,MATCH(Overview!C31,'Baseline with discounts &gt;&gt;&gt;'!$C$17:$C$43,0)),0)</f>
        <v>7.8382528425241622</v>
      </c>
      <c r="E31" s="362">
        <f>IFERROR(INDEX('L1Maximizing Participation &gt;&gt;&gt;'!$F$27:$F$49,MATCH(Overview!C31,'L1Maximizing Participation &gt;&gt;&gt;'!$C$27:$C$49,0)),0)</f>
        <v>3.1194698801528773</v>
      </c>
      <c r="F31" s="363">
        <f>IFERROR(INDEX('L2 Improved Diet Composition &gt;&gt;'!$F$23:$F$49,MATCH(Overview!C31,'L2 Improved Diet Composition &gt;&gt;'!$C$23:$C$49,0)),0)</f>
        <v>0.86220781267765789</v>
      </c>
      <c r="G31" s="363">
        <f>IFERROR(INDEX('L3Optimizing Procurement &gt;&gt;&gt;'!$G$19:$G$22,MATCH(Overview!C31,'L3Optimizing Procurement &gt;&gt;&gt;'!$D$19:$D$22,0)),0)</f>
        <v>0</v>
      </c>
    </row>
    <row r="32" spans="1:14" s="364" customFormat="1" ht="28" x14ac:dyDescent="0.3">
      <c r="A32" s="367"/>
      <c r="B32" s="365" t="s">
        <v>541</v>
      </c>
      <c r="C32" s="366" t="s">
        <v>492</v>
      </c>
      <c r="D32" s="361">
        <f>IFERROR(INDEX('Baseline with discounts &gt;&gt;&gt;'!$F$17:$F$43,MATCH(Overview!C32,'Baseline with discounts &gt;&gt;&gt;'!$C$17:$C$43,0)),0)</f>
        <v>3.2760499496618012</v>
      </c>
      <c r="E32" s="362">
        <f>IFERROR(INDEX('L1Maximizing Participation &gt;&gt;&gt;'!$F$27:$F$49,MATCH(Overview!C32,'L1Maximizing Participation &gt;&gt;&gt;'!$C$27:$C$49,0)),0)</f>
        <v>1.3038032006830909</v>
      </c>
      <c r="F32" s="363">
        <f>IFERROR(INDEX('L2 Improved Diet Composition &gt;&gt;'!$F$23:$F$49,MATCH(Overview!C32,'L2 Improved Diet Composition &gt;&gt;'!$C$23:$C$49,0)),0)</f>
        <v>0.36036549446279814</v>
      </c>
      <c r="G32" s="363">
        <f>IFERROR(INDEX('L3Optimizing Procurement &gt;&gt;&gt;'!$G$19:$G$22,MATCH(Overview!C32,'L3Optimizing Procurement &gt;&gt;&gt;'!$D$19:$D$22,0)),0)</f>
        <v>0</v>
      </c>
    </row>
    <row r="33" spans="1:9" s="364" customFormat="1" ht="28" x14ac:dyDescent="0.3">
      <c r="A33" s="367"/>
      <c r="B33" s="365" t="s">
        <v>541</v>
      </c>
      <c r="C33" s="366" t="s">
        <v>633</v>
      </c>
      <c r="D33" s="361">
        <f>IFERROR(INDEX('Baseline with discounts &gt;&gt;&gt;'!$F$17:$F$43,MATCH(Overview!C33,'Baseline with discounts &gt;&gt;&gt;'!$C$17:$C$43,0)),0)</f>
        <v>4.2231853235493677</v>
      </c>
      <c r="E33" s="362">
        <f>IFERROR(INDEX('L1Maximizing Participation &gt;&gt;&gt;'!$F$27:$F$49,MATCH(Overview!C33,'L1Maximizing Participation &gt;&gt;&gt;'!$C$27:$C$49,0)),0)</f>
        <v>1.6807443801306956</v>
      </c>
      <c r="F33" s="363">
        <f>IFERROR(INDEX('L2 Improved Diet Composition &gt;&gt;'!$F$23:$F$49,MATCH(Overview!C33,'L2 Improved Diet Composition &gt;&gt;'!$C$23:$C$49,0)),0)</f>
        <v>0.46455038559043044</v>
      </c>
      <c r="G33" s="363">
        <f>IFERROR(INDEX('L3Optimizing Procurement &gt;&gt;&gt;'!$G$19:$G$22,MATCH(Overview!C33,'L3Optimizing Procurement &gt;&gt;&gt;'!$D$19:$D$22,0)),0)</f>
        <v>0</v>
      </c>
    </row>
    <row r="34" spans="1:9" s="364" customFormat="1" ht="28" x14ac:dyDescent="0.3">
      <c r="A34" s="367"/>
      <c r="B34" s="365" t="s">
        <v>541</v>
      </c>
      <c r="C34" s="366" t="s">
        <v>491</v>
      </c>
      <c r="D34" s="361">
        <f>IFERROR(INDEX('Baseline with discounts &gt;&gt;&gt;'!$F$17:$F$43,MATCH(Overview!C34,'Baseline with discounts &gt;&gt;&gt;'!$C$17:$C$43,0)),0)</f>
        <v>2.8683185217902638</v>
      </c>
      <c r="E34" s="362">
        <f>IFERROR(INDEX('L1Maximizing Participation &gt;&gt;&gt;'!$F$27:$F$49,MATCH(Overview!C34,'L1Maximizing Participation &gt;&gt;&gt;'!$C$27:$C$49,0)),0)</f>
        <v>1.1415341422601946</v>
      </c>
      <c r="F34" s="363">
        <f>IFERROR(INDEX('L2 Improved Diet Composition &gt;&gt;'!$F$23:$F$49,MATCH(Overview!C34,'L2 Improved Diet Composition &gt;&gt;'!$C$23:$C$49,0)),0)</f>
        <v>0.31551503739692904</v>
      </c>
      <c r="G34" s="363">
        <f>IFERROR(INDEX('L3Optimizing Procurement &gt;&gt;&gt;'!$G$19:$G$22,MATCH(Overview!C34,'L3Optimizing Procurement &gt;&gt;&gt;'!$D$19:$D$22,0)),0)</f>
        <v>0</v>
      </c>
    </row>
    <row r="35" spans="1:9" s="364" customFormat="1" ht="28" x14ac:dyDescent="0.3">
      <c r="A35" s="367"/>
      <c r="B35" s="365" t="s">
        <v>541</v>
      </c>
      <c r="C35" s="366" t="s">
        <v>489</v>
      </c>
      <c r="D35" s="361">
        <f>IFERROR(INDEX('Baseline with discounts &gt;&gt;&gt;'!$F$17:$F$43,MATCH(Overview!C35,'Baseline with discounts &gt;&gt;&gt;'!$C$17:$C$43,0)),0)</f>
        <v>6.9156814359510435</v>
      </c>
      <c r="E35" s="362">
        <f>IFERROR(INDEX('L1Maximizing Participation &gt;&gt;&gt;'!$F$27:$F$49,MATCH(Overview!C35,'L1Maximizing Participation &gt;&gt;&gt;'!$C$27:$C$49,0)),0)</f>
        <v>2.7523046747283053</v>
      </c>
      <c r="F35" s="363">
        <f>IFERROR(INDEX('L2 Improved Diet Composition &gt;&gt;'!$F$23:$F$49,MATCH(Overview!C35,'L2 Improved Diet Composition &gt;&gt;'!$C$23:$C$49,0)),0)</f>
        <v>0.76072495795461481</v>
      </c>
      <c r="G35" s="363">
        <f>IFERROR(INDEX('L3Optimizing Procurement &gt;&gt;&gt;'!$G$19:$G$22,MATCH(Overview!C35,'L3Optimizing Procurement &gt;&gt;&gt;'!$D$19:$D$22,0)),0)</f>
        <v>0</v>
      </c>
    </row>
    <row r="36" spans="1:9" s="364" customFormat="1" x14ac:dyDescent="0.3">
      <c r="B36" s="453" t="s">
        <v>453</v>
      </c>
      <c r="C36" s="454"/>
      <c r="D36" s="368">
        <f>SUMIF($B15:$B35,"Livelihoods",D15:D35)+SUMIF($B15:$B35,"Economy",D15:D35)+SUMIF($B15:$B35,"Human health",D15:D35)+SUMIF($B15:$B35,"Poverty alleviation",D15:D35)</f>
        <v>39.4588816959875</v>
      </c>
      <c r="E36" s="368">
        <f>SUMIF($B15:$B35,"Environment",E15:E35)+SUMIF($B15:$B35,"Biodiversity",E15:E35)+SUMIF($B15:$B35,"Livelihoods",E15:E35)+SUMIF($B15:$B35,"Economy",E15:E35)+SUMIF($B15:$B35,"Human health",E15:E35)+SUMIF($B15:$B35,"Poverty alleviation",E15:E35)</f>
        <v>20.581901649790225</v>
      </c>
      <c r="F36" s="368">
        <f>SUMIF($B15:$B35,"Environment",F15:F35)+SUMIF($B15:$B35,"Biodiversity",F15:F35)+SUMIF($B15:$B35,"Livelihoods",F15:F35)+SUMIF($B15:$B35,"Economy",F15:F35)+SUMIF($B15:$B35,"Human health",F15:F35)+SUMIF($B15:$B35,"Poverty alleviation",F15:F35)</f>
        <v>5.042021916256533</v>
      </c>
      <c r="G36" s="368">
        <f>SUMIF($B15:$B35,"Environment",G15:G35)+SUMIF($B15:$B35,"Biodiversity",G15:G35)+SUMIF($B15:$B35,"Livelihoods",G15:G35)+SUMIF($B15:$B35,"Economy",G15:G35)+SUMIF($B15:$B35,"Human health",G15:G35)+SUMIF($B15:$B35,"Poverty alleviation",G15:G35)</f>
        <v>1.2831172808350828</v>
      </c>
    </row>
    <row r="37" spans="1:9" s="371" customFormat="1" x14ac:dyDescent="0.3">
      <c r="A37" s="364"/>
      <c r="B37" s="455" t="s">
        <v>454</v>
      </c>
      <c r="C37" s="456"/>
      <c r="D37" s="369" t="s">
        <v>455</v>
      </c>
      <c r="E37" s="370" t="s">
        <v>452</v>
      </c>
      <c r="F37" s="370" t="s">
        <v>452</v>
      </c>
      <c r="G37" s="370" t="s">
        <v>452</v>
      </c>
    </row>
    <row r="38" spans="1:9" s="364" customFormat="1" x14ac:dyDescent="0.3">
      <c r="A38" s="371"/>
      <c r="B38" s="371"/>
      <c r="C38" s="371"/>
      <c r="D38" s="371"/>
      <c r="E38" s="371"/>
      <c r="F38" s="371"/>
      <c r="G38" s="371"/>
    </row>
    <row r="39" spans="1:9" s="364" customFormat="1" x14ac:dyDescent="0.3">
      <c r="D39" s="372"/>
    </row>
    <row r="40" spans="1:9" s="364" customFormat="1" x14ac:dyDescent="0.3">
      <c r="D40" s="372"/>
    </row>
    <row r="41" spans="1:9" s="364" customFormat="1" x14ac:dyDescent="0.3">
      <c r="B41" s="373" t="s">
        <v>535</v>
      </c>
      <c r="C41" s="367"/>
      <c r="D41" s="373"/>
      <c r="E41" s="367"/>
      <c r="F41" s="367"/>
      <c r="G41" s="367"/>
    </row>
    <row r="42" spans="1:9" s="364" customFormat="1" x14ac:dyDescent="0.3">
      <c r="B42" s="372"/>
      <c r="D42" s="372"/>
      <c r="I42" s="371"/>
    </row>
    <row r="43" spans="1:9" s="364" customFormat="1" ht="28" x14ac:dyDescent="0.3">
      <c r="A43" s="367"/>
      <c r="B43" s="365" t="s">
        <v>541</v>
      </c>
      <c r="C43" s="366" t="s">
        <v>479</v>
      </c>
      <c r="D43" s="371"/>
      <c r="E43" s="371"/>
      <c r="F43" s="371"/>
      <c r="G43" s="371"/>
    </row>
  </sheetData>
  <mergeCells count="4">
    <mergeCell ref="B8:C9"/>
    <mergeCell ref="B4:C5"/>
    <mergeCell ref="B36:C36"/>
    <mergeCell ref="B37:C3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E701E-D011-43EE-9F88-78EDB69199EF}">
  <sheetPr codeName="Sheet10">
    <tabColor theme="8" tint="0.59999389629810485"/>
  </sheetPr>
  <dimension ref="B2:F22"/>
  <sheetViews>
    <sheetView showGridLines="0" zoomScaleNormal="100" workbookViewId="0"/>
  </sheetViews>
  <sheetFormatPr defaultColWidth="8.6640625" defaultRowHeight="14" x14ac:dyDescent="0.3"/>
  <cols>
    <col min="1" max="1" width="8.6640625" style="3"/>
    <col min="2" max="2" width="83.6640625" style="3" bestFit="1" customWidth="1"/>
    <col min="3" max="3" width="15" style="3" bestFit="1" customWidth="1"/>
    <col min="4" max="4" width="15" style="3" customWidth="1"/>
    <col min="5" max="5" width="13.6640625" style="3" bestFit="1" customWidth="1"/>
    <col min="6" max="6" width="8.6640625" style="3"/>
    <col min="7" max="7" width="19.1640625" style="3" bestFit="1" customWidth="1"/>
    <col min="8" max="16384" width="8.6640625" style="3"/>
  </cols>
  <sheetData>
    <row r="2" spans="2:6" x14ac:dyDescent="0.3">
      <c r="B2" s="69" t="s">
        <v>693</v>
      </c>
      <c r="C2" s="70"/>
      <c r="D2" s="70"/>
      <c r="E2" s="70"/>
      <c r="F2" s="70"/>
    </row>
    <row r="3" spans="2:6" customFormat="1" x14ac:dyDescent="0.3"/>
    <row r="4" spans="2:6" x14ac:dyDescent="0.3">
      <c r="B4" s="43" t="s">
        <v>559</v>
      </c>
      <c r="C4" s="252">
        <f>SUM(C5:C6)</f>
        <v>13.091314135760271</v>
      </c>
      <c r="D4" s="294"/>
    </row>
    <row r="5" spans="2:6" x14ac:dyDescent="0.3">
      <c r="B5" s="43" t="s">
        <v>550</v>
      </c>
      <c r="C5" s="136">
        <f>C13</f>
        <v>7.442230804597699</v>
      </c>
      <c r="D5" s="293"/>
    </row>
    <row r="6" spans="2:6" x14ac:dyDescent="0.3">
      <c r="B6" s="43" t="s">
        <v>551</v>
      </c>
      <c r="C6" s="136">
        <f>C22</f>
        <v>5.649083331162573</v>
      </c>
      <c r="D6" s="293"/>
    </row>
    <row r="7" spans="2:6" x14ac:dyDescent="0.3">
      <c r="B7" s="4"/>
    </row>
    <row r="8" spans="2:6" x14ac:dyDescent="0.3">
      <c r="B8" s="220" t="s">
        <v>550</v>
      </c>
      <c r="C8" s="61"/>
      <c r="D8" s="61"/>
      <c r="E8" s="61"/>
      <c r="F8" s="61"/>
    </row>
    <row r="9" spans="2:6" x14ac:dyDescent="0.3">
      <c r="B9" s="4"/>
    </row>
    <row r="10" spans="2:6" x14ac:dyDescent="0.3">
      <c r="B10" s="30" t="s">
        <v>79</v>
      </c>
      <c r="C10" s="238" t="s">
        <v>117</v>
      </c>
      <c r="D10" s="238" t="s">
        <v>42</v>
      </c>
      <c r="E10"/>
      <c r="F10"/>
    </row>
    <row r="11" spans="2:6" x14ac:dyDescent="0.3">
      <c r="B11" s="32" t="s">
        <v>525</v>
      </c>
      <c r="C11" s="293">
        <v>18.7</v>
      </c>
      <c r="D11" s="293" t="s">
        <v>16</v>
      </c>
      <c r="E11"/>
      <c r="F11"/>
    </row>
    <row r="12" spans="2:6" x14ac:dyDescent="0.3">
      <c r="B12" s="32" t="s">
        <v>553</v>
      </c>
      <c r="C12" s="334">
        <f>'L1Maximize Participation Logic'!C18</f>
        <v>0.39798025693035827</v>
      </c>
      <c r="D12" s="298" t="s">
        <v>523</v>
      </c>
      <c r="E12"/>
      <c r="F12"/>
    </row>
    <row r="13" spans="2:6" x14ac:dyDescent="0.3">
      <c r="B13" s="72" t="s">
        <v>544</v>
      </c>
      <c r="C13" s="431">
        <f>C11*C12</f>
        <v>7.442230804597699</v>
      </c>
      <c r="D13" s="432" t="s">
        <v>16</v>
      </c>
      <c r="E13"/>
      <c r="F13"/>
    </row>
    <row r="15" spans="2:6" x14ac:dyDescent="0.3">
      <c r="B15" s="237" t="s">
        <v>554</v>
      </c>
      <c r="C15" s="237"/>
      <c r="D15" s="237"/>
      <c r="E15" s="237"/>
      <c r="F15" s="237"/>
    </row>
    <row r="16" spans="2:6" customFormat="1" x14ac:dyDescent="0.3"/>
    <row r="17" spans="2:6" x14ac:dyDescent="0.3">
      <c r="B17" s="30" t="s">
        <v>79</v>
      </c>
      <c r="C17" s="238" t="s">
        <v>117</v>
      </c>
      <c r="D17" s="238" t="s">
        <v>42</v>
      </c>
      <c r="E17" s="238" t="s">
        <v>13</v>
      </c>
      <c r="F17" s="30" t="s">
        <v>14</v>
      </c>
    </row>
    <row r="18" spans="2:6" x14ac:dyDescent="0.3">
      <c r="B18" s="3" t="s">
        <v>555</v>
      </c>
      <c r="C18" s="107">
        <v>8537900</v>
      </c>
      <c r="D18" s="107" t="s">
        <v>56</v>
      </c>
      <c r="E18" s="3" t="s">
        <v>557</v>
      </c>
      <c r="F18" s="3" t="s">
        <v>558</v>
      </c>
    </row>
    <row r="19" spans="2:6" x14ac:dyDescent="0.3">
      <c r="B19" s="3" t="s">
        <v>556</v>
      </c>
      <c r="C19" s="118">
        <v>76778</v>
      </c>
      <c r="D19" s="118" t="s">
        <v>560</v>
      </c>
      <c r="E19" s="3" t="s">
        <v>557</v>
      </c>
      <c r="F19" s="3" t="s">
        <v>558</v>
      </c>
    </row>
    <row r="20" spans="2:6" x14ac:dyDescent="0.3">
      <c r="B20" s="3" t="s">
        <v>552</v>
      </c>
      <c r="C20" s="107">
        <f>C18/C19</f>
        <v>111.20242777879081</v>
      </c>
      <c r="D20" s="107" t="s">
        <v>56</v>
      </c>
      <c r="E20" s="3" t="s">
        <v>152</v>
      </c>
    </row>
    <row r="21" spans="2:6" x14ac:dyDescent="0.3">
      <c r="B21" s="3" t="s">
        <v>649</v>
      </c>
      <c r="C21" s="118">
        <v>50800000</v>
      </c>
      <c r="D21" s="118" t="s">
        <v>560</v>
      </c>
      <c r="E21" t="s">
        <v>311</v>
      </c>
      <c r="F21" t="s">
        <v>84</v>
      </c>
    </row>
    <row r="22" spans="2:6" x14ac:dyDescent="0.3">
      <c r="B22" s="69" t="s">
        <v>711</v>
      </c>
      <c r="C22" s="429">
        <f>C21*C20/10^9</f>
        <v>5.649083331162573</v>
      </c>
      <c r="D22" s="430" t="s">
        <v>16</v>
      </c>
      <c r="E22" s="70" t="s">
        <v>152</v>
      </c>
      <c r="F22" s="70"/>
    </row>
  </sheetData>
  <hyperlinks>
    <hyperlink ref="F21" r:id="rId1" location=":~:text=In%202019%2C%20approximately%2056.6%20million,school%20in%20the%20United%20States.&amp;text=Among%20the%2050.8%20million%20students,3.7%20million%20were%20in%20kindergarten" xr:uid="{EBB9A423-5534-40FA-8EA5-42B84559008F}"/>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98C65-BF04-4352-92A2-CC12157A05B5}">
  <sheetPr codeName="Sheet11">
    <tabColor theme="6" tint="0.79998168889431442"/>
  </sheetPr>
  <dimension ref="B2:I57"/>
  <sheetViews>
    <sheetView showGridLines="0" zoomScaleNormal="80" workbookViewId="0"/>
  </sheetViews>
  <sheetFormatPr defaultColWidth="8.6640625" defaultRowHeight="14" x14ac:dyDescent="0.3"/>
  <cols>
    <col min="1" max="1" width="8.6640625" style="3"/>
    <col min="2" max="2" width="36.58203125" style="3" bestFit="1" customWidth="1"/>
    <col min="3" max="3" width="24.6640625" style="3" bestFit="1" customWidth="1"/>
    <col min="4" max="4" width="13.08203125" style="3" bestFit="1" customWidth="1"/>
    <col min="5" max="5" width="12.58203125" style="3" bestFit="1" customWidth="1"/>
    <col min="6" max="6" width="14.58203125" style="3" customWidth="1"/>
    <col min="7" max="7" width="40.1640625" style="3" bestFit="1" customWidth="1"/>
    <col min="8" max="8" width="13.58203125" style="3" customWidth="1"/>
    <col min="9" max="9" width="12.5" style="3" customWidth="1"/>
    <col min="10" max="10" width="81.08203125" style="3" bestFit="1" customWidth="1"/>
    <col min="11" max="16384" width="8.6640625" style="3"/>
  </cols>
  <sheetData>
    <row r="2" spans="2:8" x14ac:dyDescent="0.3">
      <c r="B2" s="1" t="s">
        <v>100</v>
      </c>
      <c r="C2" s="1"/>
      <c r="D2" s="2"/>
      <c r="E2" s="2"/>
      <c r="F2" s="2"/>
      <c r="G2" s="2"/>
      <c r="H2" s="2"/>
    </row>
    <row r="4" spans="2:8" x14ac:dyDescent="0.3">
      <c r="B4" s="132" t="s">
        <v>718</v>
      </c>
      <c r="C4" s="133">
        <f>C15-C18</f>
        <v>1.5171299162565335</v>
      </c>
    </row>
    <row r="6" spans="2:8" x14ac:dyDescent="0.3">
      <c r="B6" s="100" t="s">
        <v>132</v>
      </c>
      <c r="C6" s="101"/>
      <c r="D6" s="101"/>
      <c r="E6" s="101"/>
      <c r="F6" s="101"/>
      <c r="G6" s="101"/>
      <c r="H6" s="101"/>
    </row>
    <row r="8" spans="2:8" x14ac:dyDescent="0.3">
      <c r="B8" s="43" t="s">
        <v>8</v>
      </c>
      <c r="C8" s="43" t="s">
        <v>340</v>
      </c>
    </row>
    <row r="9" spans="2:8" x14ac:dyDescent="0.3">
      <c r="B9" s="6" t="s">
        <v>12</v>
      </c>
      <c r="C9" s="94">
        <f>SUMIFS('L2 Improved Diet Composition &gt;&gt;'!$F$23:$F$36,'L2 Improved Diet Composition &gt;&gt;'!$B$23:$B$36,'L2 Improved Diet Composition &gt;&gt;'!B9)</f>
        <v>-2.1289617947921724E-2</v>
      </c>
    </row>
    <row r="10" spans="2:8" x14ac:dyDescent="0.3">
      <c r="B10" s="6" t="s">
        <v>1</v>
      </c>
      <c r="C10" s="94">
        <f>SUMIFS('L2 Improved Diet Composition &gt;&gt;'!$F$23:$F$36,'L2 Improved Diet Composition &gt;&gt;'!$B$23:$B$36,'L2 Improved Diet Composition &gt;&gt;'!B10)</f>
        <v>0.16950732030088739</v>
      </c>
    </row>
    <row r="11" spans="2:8" x14ac:dyDescent="0.3">
      <c r="B11" s="6" t="s">
        <v>3</v>
      </c>
      <c r="C11" s="94">
        <f>SUMIFS('L2 Improved Diet Composition &gt;&gt;'!$F$23:$F$36,'L2 Improved Diet Composition &gt;&gt;'!$B$23:$B$36,'L2 Improved Diet Composition &gt;&gt;'!B11)</f>
        <v>0</v>
      </c>
    </row>
    <row r="12" spans="2:8" x14ac:dyDescent="0.3">
      <c r="B12" s="6" t="s">
        <v>4</v>
      </c>
      <c r="C12" s="94">
        <f>SUMIFS('L2 Improved Diet Composition &gt;&gt;'!$F$23:$F$36,'L2 Improved Diet Composition &gt;&gt;'!$B$23:$B$36,'L2 Improved Diet Composition &gt;&gt;'!B12)</f>
        <v>0</v>
      </c>
    </row>
    <row r="13" spans="2:8" x14ac:dyDescent="0.3">
      <c r="B13" s="6" t="s">
        <v>5</v>
      </c>
      <c r="C13" s="94">
        <f>SUMIFS('L2 Improved Diet Composition &gt;&gt;'!$F$23:$F$36,'L2 Improved Diet Composition &gt;&gt;'!$B$23:$B$36,'L2 Improved Diet Composition &gt;&gt;'!B13)</f>
        <v>1.0155196004041043</v>
      </c>
    </row>
    <row r="14" spans="2:8" x14ac:dyDescent="0.3">
      <c r="B14" s="6" t="s">
        <v>542</v>
      </c>
      <c r="C14" s="94">
        <f>SUMIFS('L2 Improved Diet Composition &gt;&gt;'!$F$23:$F$41,'L2 Improved Diet Composition &gt;&gt;'!$B$23:$B$41,'L2 Improved Diet Composition &gt;&gt;'!B14)</f>
        <v>3.8782846134994631</v>
      </c>
    </row>
    <row r="15" spans="2:8" x14ac:dyDescent="0.3">
      <c r="B15" s="43" t="s">
        <v>72</v>
      </c>
      <c r="C15" s="95">
        <f>SUM(C9:C14)</f>
        <v>5.042021916256533</v>
      </c>
    </row>
    <row r="17" spans="2:9" x14ac:dyDescent="0.3">
      <c r="B17" s="88" t="s">
        <v>179</v>
      </c>
      <c r="C17" s="82"/>
      <c r="D17" s="82"/>
      <c r="E17" s="82"/>
      <c r="F17" s="82"/>
      <c r="G17" s="82"/>
      <c r="H17" s="82"/>
    </row>
    <row r="18" spans="2:9" x14ac:dyDescent="0.3">
      <c r="B18" s="119" t="s">
        <v>27</v>
      </c>
      <c r="C18" s="127">
        <f>L2Costs!C32</f>
        <v>3.5248919999999995</v>
      </c>
      <c r="D18" s="119" t="s">
        <v>16</v>
      </c>
      <c r="E18" s="119"/>
      <c r="F18" s="119"/>
      <c r="G18" s="119"/>
      <c r="H18" s="119"/>
    </row>
    <row r="19" spans="2:9" x14ac:dyDescent="0.3">
      <c r="B19" s="15"/>
      <c r="C19" s="28"/>
      <c r="D19" s="4"/>
    </row>
    <row r="20" spans="2:9" x14ac:dyDescent="0.3">
      <c r="B20" s="25" t="s">
        <v>36</v>
      </c>
      <c r="C20" s="57"/>
      <c r="D20" s="26"/>
      <c r="E20" s="25"/>
      <c r="F20" s="26"/>
      <c r="G20" s="26"/>
      <c r="H20" s="26"/>
    </row>
    <row r="21" spans="2:9" x14ac:dyDescent="0.3">
      <c r="B21" s="33"/>
      <c r="C21" s="33"/>
      <c r="E21" s="15" t="s">
        <v>16</v>
      </c>
      <c r="H21" s="59" t="s">
        <v>101</v>
      </c>
    </row>
    <row r="22" spans="2:9" ht="42" x14ac:dyDescent="0.3">
      <c r="B22" s="32" t="s">
        <v>8</v>
      </c>
      <c r="C22" s="32" t="s">
        <v>7</v>
      </c>
      <c r="D22" s="31"/>
      <c r="E22" s="31" t="s">
        <v>338</v>
      </c>
      <c r="F22" s="31" t="s">
        <v>128</v>
      </c>
      <c r="G22" s="31" t="s">
        <v>63</v>
      </c>
      <c r="H22" s="31" t="s">
        <v>99</v>
      </c>
    </row>
    <row r="23" spans="2:9" x14ac:dyDescent="0.3">
      <c r="B23" s="19" t="s">
        <v>12</v>
      </c>
      <c r="C23" s="5" t="s">
        <v>17</v>
      </c>
      <c r="D23" s="24"/>
      <c r="E23" s="313">
        <f>INDEX('Baseline with discounts &gt;&gt;&gt;'!$F$17:$F$55,MATCH('L2 Improved Diet Composition &gt;&gt;'!C23,'Baseline with discounts &gt;&gt;&gt;'!$C$17:$C$55,0))</f>
        <v>0.38763086563614074</v>
      </c>
      <c r="F23" s="312">
        <f>E23*'L2Production Metrics'!J8</f>
        <v>-4.3129998958124145E-2</v>
      </c>
      <c r="G23" s="3" t="s">
        <v>420</v>
      </c>
      <c r="H23" s="118">
        <f t="shared" ref="H23:H40" si="0">F23*10^3</f>
        <v>-43.129998958124148</v>
      </c>
      <c r="I23" s="27"/>
    </row>
    <row r="24" spans="2:9" x14ac:dyDescent="0.3">
      <c r="B24" s="19" t="s">
        <v>12</v>
      </c>
      <c r="C24" s="5" t="s">
        <v>18</v>
      </c>
      <c r="D24" s="24"/>
      <c r="E24" s="313">
        <f>INDEX('Baseline with discounts &gt;&gt;&gt;'!$F$17:$F$55,MATCH('L2 Improved Diet Composition &gt;&gt;'!C24,'Baseline with discounts &gt;&gt;&gt;'!$C$17:$C$55,0))</f>
        <v>0.10699811888522762</v>
      </c>
      <c r="F24" s="312">
        <f>E24*'L2Production Metrics'!J9</f>
        <v>-1.5735017483121708E-3</v>
      </c>
      <c r="G24" s="3" t="s">
        <v>421</v>
      </c>
      <c r="H24" s="118">
        <f t="shared" si="0"/>
        <v>-1.5735017483121709</v>
      </c>
      <c r="I24" s="27"/>
    </row>
    <row r="25" spans="2:9" x14ac:dyDescent="0.3">
      <c r="B25" s="19" t="s">
        <v>12</v>
      </c>
      <c r="C25" s="5" t="s">
        <v>0</v>
      </c>
      <c r="D25" s="24"/>
      <c r="E25" s="313">
        <f>INDEX('Baseline with discounts &gt;&gt;&gt;'!$F$17:$F$55,MATCH('L2 Improved Diet Composition &gt;&gt;'!C25,'Baseline with discounts &gt;&gt;&gt;'!$C$17:$C$55,0))</f>
        <v>0.22107853057126556</v>
      </c>
      <c r="F25" s="312">
        <f>E25*'L2Production Metrics'!$J$25</f>
        <v>2.3413882758514595E-2</v>
      </c>
      <c r="G25" s="3" t="s">
        <v>422</v>
      </c>
      <c r="H25" s="118">
        <f t="shared" si="0"/>
        <v>23.413882758514596</v>
      </c>
    </row>
    <row r="26" spans="2:9" x14ac:dyDescent="0.3">
      <c r="B26" s="19" t="s">
        <v>1</v>
      </c>
      <c r="C26" s="5" t="s">
        <v>2</v>
      </c>
      <c r="D26" s="24"/>
      <c r="E26" s="313">
        <f>INDEX('Baseline with discounts &gt;&gt;&gt;'!$F$17:$F$55,MATCH('L2 Improved Diet Composition &gt;&gt;'!C26,'Baseline with discounts &gt;&gt;&gt;'!$C$17:$C$55,0))</f>
        <v>1.1335143143346389</v>
      </c>
      <c r="F26" s="312">
        <f>E26*'L2Production Metrics'!$J$25</f>
        <v>0.12004770970908019</v>
      </c>
      <c r="G26" s="3" t="s">
        <v>422</v>
      </c>
      <c r="H26" s="118">
        <f t="shared" si="0"/>
        <v>120.04770970908018</v>
      </c>
    </row>
    <row r="27" spans="2:9" x14ac:dyDescent="0.3">
      <c r="B27" s="19" t="s">
        <v>1</v>
      </c>
      <c r="C27" s="5" t="s">
        <v>19</v>
      </c>
      <c r="D27" s="24"/>
      <c r="E27" s="313">
        <f>INDEX('Baseline with discounts &gt;&gt;&gt;'!$F$17:$F$55,MATCH('L2 Improved Diet Composition &gt;&gt;'!C27,'Baseline with discounts &gt;&gt;&gt;'!$C$17:$C$55,0))</f>
        <v>0.39060410416093894</v>
      </c>
      <c r="F27" s="312">
        <f>E27*'L2Production Metrics'!J13</f>
        <v>4.9459610591807195E-2</v>
      </c>
      <c r="G27" s="3" t="s">
        <v>423</v>
      </c>
      <c r="H27" s="118">
        <f t="shared" si="0"/>
        <v>49.459610591807191</v>
      </c>
    </row>
    <row r="28" spans="2:9" x14ac:dyDescent="0.3">
      <c r="B28" s="19" t="s">
        <v>3</v>
      </c>
      <c r="C28" s="5" t="s">
        <v>567</v>
      </c>
      <c r="D28" s="24"/>
      <c r="E28" s="313">
        <f>INDEX('Baseline with discounts &gt;&gt;&gt;'!$F$17:$F$55,MATCH('L2 Improved Diet Composition &gt;&gt;'!C28,'Baseline with discounts &gt;&gt;&gt;'!$C$17:$C$55,0))</f>
        <v>0</v>
      </c>
      <c r="F28" s="313">
        <v>0</v>
      </c>
      <c r="G28" s="3" t="s">
        <v>65</v>
      </c>
      <c r="H28" s="118">
        <f t="shared" si="0"/>
        <v>0</v>
      </c>
    </row>
    <row r="29" spans="2:9" x14ac:dyDescent="0.3">
      <c r="B29" s="19" t="s">
        <v>3</v>
      </c>
      <c r="C29" s="5" t="s">
        <v>20</v>
      </c>
      <c r="D29" s="24"/>
      <c r="E29" s="313">
        <f>INDEX('Baseline with discounts &gt;&gt;&gt;'!$F$17:$F$55,MATCH('L2 Improved Diet Composition &gt;&gt;'!C29,'Baseline with discounts &gt;&gt;&gt;'!$C$17:$C$55,0))</f>
        <v>0</v>
      </c>
      <c r="F29" s="313">
        <v>0</v>
      </c>
      <c r="G29" s="3" t="s">
        <v>65</v>
      </c>
      <c r="H29" s="118">
        <f t="shared" si="0"/>
        <v>0</v>
      </c>
    </row>
    <row r="30" spans="2:9" x14ac:dyDescent="0.3">
      <c r="B30" s="19" t="s">
        <v>3</v>
      </c>
      <c r="C30" s="5" t="s">
        <v>21</v>
      </c>
      <c r="D30" s="24"/>
      <c r="E30" s="313">
        <f>INDEX('Baseline with discounts &gt;&gt;&gt;'!$F$17:$F$55,MATCH('L2 Improved Diet Composition &gt;&gt;'!C30,'Baseline with discounts &gt;&gt;&gt;'!$C$17:$C$55,0))</f>
        <v>0</v>
      </c>
      <c r="F30" s="313">
        <v>0</v>
      </c>
      <c r="G30" s="3" t="s">
        <v>65</v>
      </c>
      <c r="H30" s="118">
        <f t="shared" si="0"/>
        <v>0</v>
      </c>
    </row>
    <row r="31" spans="2:9" x14ac:dyDescent="0.3">
      <c r="B31" s="19" t="s">
        <v>3</v>
      </c>
      <c r="C31" s="5" t="s">
        <v>22</v>
      </c>
      <c r="D31" s="24"/>
      <c r="E31" s="313">
        <f>INDEX('Baseline with discounts &gt;&gt;&gt;'!$F$17:$F$55,MATCH('L2 Improved Diet Composition &gt;&gt;'!C31,'Baseline with discounts &gt;&gt;&gt;'!$C$17:$C$55,0))</f>
        <v>0</v>
      </c>
      <c r="F31" s="313">
        <v>0</v>
      </c>
      <c r="G31" s="3" t="s">
        <v>65</v>
      </c>
      <c r="H31" s="118">
        <f t="shared" si="0"/>
        <v>0</v>
      </c>
    </row>
    <row r="32" spans="2:9" x14ac:dyDescent="0.3">
      <c r="B32" s="18" t="s">
        <v>4</v>
      </c>
      <c r="C32" s="5" t="s">
        <v>23</v>
      </c>
      <c r="D32" s="24"/>
      <c r="E32" s="313">
        <f>INDEX('Baseline with discounts &gt;&gt;&gt;'!$F$17:$F$55,MATCH('L2 Improved Diet Composition &gt;&gt;'!C32,'Baseline with discounts &gt;&gt;&gt;'!$C$17:$C$55,0))</f>
        <v>0</v>
      </c>
      <c r="F32" s="313">
        <v>0</v>
      </c>
      <c r="G32" s="3" t="s">
        <v>65</v>
      </c>
      <c r="H32" s="118">
        <f t="shared" si="0"/>
        <v>0</v>
      </c>
    </row>
    <row r="33" spans="2:9" x14ac:dyDescent="0.3">
      <c r="B33" s="19" t="s">
        <v>5</v>
      </c>
      <c r="C33" s="5" t="s">
        <v>24</v>
      </c>
      <c r="D33" s="24"/>
      <c r="E33" s="313">
        <f>INDEX('Baseline with discounts &gt;&gt;&gt;'!$F$17:$F$55,MATCH('L2 Improved Diet Composition &gt;&gt;'!C33,'Baseline with discounts &gt;&gt;&gt;'!$C$17:$C$55,0))</f>
        <v>6.2717748317090316E-2</v>
      </c>
      <c r="F33" s="313">
        <f>E33*'L2Production Metrics'!J13</f>
        <v>7.9415330661250713E-3</v>
      </c>
      <c r="G33" s="3" t="s">
        <v>64</v>
      </c>
      <c r="H33" s="118">
        <f t="shared" si="0"/>
        <v>7.9415330661250714</v>
      </c>
    </row>
    <row r="34" spans="2:9" x14ac:dyDescent="0.3">
      <c r="B34" s="19" t="s">
        <v>5</v>
      </c>
      <c r="C34" s="5" t="s">
        <v>629</v>
      </c>
      <c r="D34" s="24"/>
      <c r="E34" s="313">
        <f>INDEX('Baseline with discounts &gt;&gt;&gt;'!$F$17:$F$55,MATCH('L2 Improved Diet Composition &gt;&gt;'!C34,'Baseline with discounts &gt;&gt;&gt;'!$C$17:$C$55,0))</f>
        <v>0.7505148705956568</v>
      </c>
      <c r="F34" s="338">
        <f>E34*'L2Health Benefits'!$C$4</f>
        <v>0.63484128235921888</v>
      </c>
      <c r="G34" s="147" t="s">
        <v>449</v>
      </c>
      <c r="H34" s="145">
        <f t="shared" si="0"/>
        <v>634.84128235921889</v>
      </c>
      <c r="I34" s="148"/>
    </row>
    <row r="35" spans="2:9" x14ac:dyDescent="0.3">
      <c r="B35" s="19" t="s">
        <v>5</v>
      </c>
      <c r="C35" s="271" t="s">
        <v>6</v>
      </c>
      <c r="D35" s="24"/>
      <c r="E35" s="313">
        <f>INDEX('Baseline with discounts &gt;&gt;&gt;'!$F$17:$F$55,MATCH('L2 Improved Diet Composition &gt;&gt;'!C35,'Baseline with discounts &gt;&gt;&gt;'!$C$17:$C$55,0))</f>
        <v>3.3885162270796396</v>
      </c>
      <c r="F35" s="337">
        <f t="shared" ref="F35:F40" si="1">E35*$F$52</f>
        <v>0.37273678497876034</v>
      </c>
      <c r="G35" s="99" t="s">
        <v>199</v>
      </c>
      <c r="H35" s="145">
        <f t="shared" si="0"/>
        <v>372.73678497876034</v>
      </c>
      <c r="I35" s="99"/>
    </row>
    <row r="36" spans="2:9" x14ac:dyDescent="0.3">
      <c r="B36" s="19" t="s">
        <v>542</v>
      </c>
      <c r="C36" s="271" t="s">
        <v>488</v>
      </c>
      <c r="D36" s="24"/>
      <c r="E36" s="313">
        <f>INDEX('Baseline with discounts &gt;&gt;&gt;'!$F$17:$F$55,MATCH('L2 Improved Diet Composition &gt;&gt;'!C36,'Baseline with discounts &gt;&gt;&gt;'!$C$17:$C$55,0))</f>
        <v>10.135644776518481</v>
      </c>
      <c r="F36" s="337">
        <f t="shared" si="1"/>
        <v>1.1149209254170329</v>
      </c>
      <c r="G36" s="99" t="s">
        <v>199</v>
      </c>
      <c r="H36" s="145">
        <f t="shared" si="0"/>
        <v>1114.920925417033</v>
      </c>
      <c r="I36" s="99"/>
    </row>
    <row r="37" spans="2:9" ht="28" x14ac:dyDescent="0.3">
      <c r="B37" s="19" t="s">
        <v>542</v>
      </c>
      <c r="C37" s="271" t="s">
        <v>490</v>
      </c>
      <c r="D37" s="24"/>
      <c r="E37" s="313">
        <f>INDEX('Baseline with discounts &gt;&gt;&gt;'!$F$17:$F$55,MATCH('L2 Improved Diet Composition &gt;&gt;'!C37,'Baseline with discounts &gt;&gt;&gt;'!$C$17:$C$55,0))</f>
        <v>7.8382528425241622</v>
      </c>
      <c r="F37" s="337">
        <f t="shared" si="1"/>
        <v>0.86220781267765789</v>
      </c>
      <c r="G37" s="99" t="s">
        <v>199</v>
      </c>
      <c r="H37" s="145">
        <f>F37*10^3</f>
        <v>862.2078126776579</v>
      </c>
      <c r="I37" s="99"/>
    </row>
    <row r="38" spans="2:9" x14ac:dyDescent="0.3">
      <c r="B38" s="335" t="s">
        <v>542</v>
      </c>
      <c r="C38" s="271" t="s">
        <v>489</v>
      </c>
      <c r="D38" s="336"/>
      <c r="E38" s="337">
        <f>INDEX('Baseline with discounts &gt;&gt;&gt;'!$F$17:$F$55,MATCH('L2 Improved Diet Composition &gt;&gt;'!C38,'Baseline with discounts &gt;&gt;&gt;'!$C$17:$C$55,0))</f>
        <v>6.9156814359510435</v>
      </c>
      <c r="F38" s="337">
        <f t="shared" si="1"/>
        <v>0.76072495795461481</v>
      </c>
      <c r="G38" s="99" t="s">
        <v>199</v>
      </c>
      <c r="H38" s="145"/>
      <c r="I38" s="99"/>
    </row>
    <row r="39" spans="2:9" ht="28" x14ac:dyDescent="0.3">
      <c r="B39" s="19" t="s">
        <v>542</v>
      </c>
      <c r="C39" s="271" t="s">
        <v>633</v>
      </c>
      <c r="E39" s="313">
        <f>INDEX('Baseline with discounts &gt;&gt;&gt;'!$F$17:$F$55,MATCH('L2 Improved Diet Composition &gt;&gt;'!C39,'Baseline with discounts &gt;&gt;&gt;'!$C$17:$C$55,0))</f>
        <v>4.2231853235493677</v>
      </c>
      <c r="F39" s="337">
        <f t="shared" si="1"/>
        <v>0.46455038559043044</v>
      </c>
      <c r="G39" s="99" t="s">
        <v>199</v>
      </c>
      <c r="H39" s="145">
        <f>F39*10^3</f>
        <v>464.55038559043044</v>
      </c>
      <c r="I39" s="99"/>
    </row>
    <row r="40" spans="2:9" x14ac:dyDescent="0.3">
      <c r="B40" s="19" t="s">
        <v>542</v>
      </c>
      <c r="C40" s="271" t="s">
        <v>492</v>
      </c>
      <c r="D40" s="24"/>
      <c r="E40" s="313">
        <f>INDEX('Baseline with discounts &gt;&gt;&gt;'!$F$17:$F$55,MATCH('L2 Improved Diet Composition &gt;&gt;'!C40,'Baseline with discounts &gt;&gt;&gt;'!$C$17:$C$55,0))</f>
        <v>3.2760499496618012</v>
      </c>
      <c r="F40" s="337">
        <f t="shared" si="1"/>
        <v>0.36036549446279814</v>
      </c>
      <c r="G40" s="99" t="s">
        <v>199</v>
      </c>
      <c r="H40" s="145">
        <f t="shared" si="0"/>
        <v>360.36549446279815</v>
      </c>
      <c r="I40" s="99"/>
    </row>
    <row r="41" spans="2:9" x14ac:dyDescent="0.3">
      <c r="B41" s="19" t="s">
        <v>542</v>
      </c>
      <c r="C41" s="271" t="s">
        <v>491</v>
      </c>
      <c r="E41" s="313">
        <f>INDEX('Baseline with discounts &gt;&gt;&gt;'!$F$17:$F$55,MATCH('L2 Improved Diet Composition &gt;&gt;'!C41,'Baseline with discounts &gt;&gt;&gt;'!$C$17:$C$55,0))</f>
        <v>2.8683185217902638</v>
      </c>
      <c r="F41" s="337">
        <f>E41*$F$52</f>
        <v>0.31551503739692904</v>
      </c>
      <c r="G41" s="99" t="s">
        <v>199</v>
      </c>
      <c r="H41" s="145">
        <f>F41*10^3</f>
        <v>315.51503739692902</v>
      </c>
      <c r="I41" s="99"/>
    </row>
    <row r="42" spans="2:9" x14ac:dyDescent="0.3">
      <c r="B42" s="71" t="s">
        <v>121</v>
      </c>
      <c r="C42" s="72" t="s">
        <v>72</v>
      </c>
      <c r="D42" s="423"/>
      <c r="E42" s="422">
        <f>SUM(E23:E41)</f>
        <v>41.698707629575722</v>
      </c>
      <c r="F42" s="422">
        <f>SUM(F23:F41)</f>
        <v>5.042021916256533</v>
      </c>
      <c r="G42" s="423"/>
      <c r="H42" s="433">
        <f>SUM(H23:H41)</f>
        <v>4281.2969583019185</v>
      </c>
    </row>
    <row r="43" spans="2:9" x14ac:dyDescent="0.3">
      <c r="B43" s="5"/>
      <c r="C43" s="17"/>
      <c r="E43" s="20"/>
      <c r="F43" s="20"/>
      <c r="H43" s="273"/>
    </row>
    <row r="44" spans="2:9" x14ac:dyDescent="0.3">
      <c r="B44" s="5"/>
      <c r="C44" s="17"/>
      <c r="E44" s="20"/>
      <c r="F44" s="20"/>
      <c r="H44" s="273"/>
    </row>
    <row r="45" spans="2:9" x14ac:dyDescent="0.3">
      <c r="B45" s="5"/>
      <c r="C45" s="17"/>
      <c r="E45" s="20"/>
      <c r="F45" s="20"/>
      <c r="H45" s="273"/>
    </row>
    <row r="46" spans="2:9" x14ac:dyDescent="0.3">
      <c r="B46" s="5"/>
      <c r="C46" s="17"/>
      <c r="E46" s="20"/>
      <c r="F46" s="20"/>
      <c r="H46" s="273"/>
    </row>
    <row r="47" spans="2:9" x14ac:dyDescent="0.3">
      <c r="B47" s="5"/>
      <c r="C47" s="17"/>
      <c r="E47" s="20"/>
      <c r="F47" s="20"/>
      <c r="H47" s="273"/>
    </row>
    <row r="49" spans="2:9" x14ac:dyDescent="0.3">
      <c r="B49" s="25" t="s">
        <v>339</v>
      </c>
      <c r="C49" s="26"/>
      <c r="D49" s="26"/>
      <c r="E49" s="26"/>
      <c r="F49" s="26"/>
      <c r="G49" s="26"/>
      <c r="H49" s="26"/>
    </row>
    <row r="50" spans="2:9" x14ac:dyDescent="0.3">
      <c r="H50" s="58"/>
    </row>
    <row r="51" spans="2:9" x14ac:dyDescent="0.3">
      <c r="B51" s="30" t="s">
        <v>29</v>
      </c>
      <c r="C51" s="30" t="s">
        <v>7</v>
      </c>
      <c r="D51" s="12"/>
      <c r="E51" s="31" t="s">
        <v>112</v>
      </c>
      <c r="F51" s="31" t="s">
        <v>102</v>
      </c>
      <c r="G51" s="30" t="s">
        <v>73</v>
      </c>
      <c r="H51" s="31" t="s">
        <v>13</v>
      </c>
    </row>
    <row r="52" spans="2:9" ht="28" x14ac:dyDescent="0.3">
      <c r="B52" s="19" t="s">
        <v>210</v>
      </c>
      <c r="C52" s="289" t="s">
        <v>9</v>
      </c>
      <c r="D52" s="289"/>
      <c r="E52" s="289" t="s">
        <v>15</v>
      </c>
      <c r="F52" s="290">
        <v>0.11</v>
      </c>
      <c r="G52" s="39" t="s">
        <v>638</v>
      </c>
      <c r="H52" s="62" t="s">
        <v>639</v>
      </c>
      <c r="I52" s="3" t="s">
        <v>15</v>
      </c>
    </row>
    <row r="53" spans="2:9" ht="42" x14ac:dyDescent="0.3">
      <c r="B53" s="19" t="s">
        <v>210</v>
      </c>
      <c r="C53" s="289" t="s">
        <v>10</v>
      </c>
      <c r="D53" s="289"/>
      <c r="E53" s="289" t="s">
        <v>15</v>
      </c>
      <c r="F53" s="289"/>
      <c r="G53" s="39" t="s">
        <v>74</v>
      </c>
      <c r="H53" s="62" t="s">
        <v>75</v>
      </c>
      <c r="I53" s="3" t="s">
        <v>15</v>
      </c>
    </row>
    <row r="54" spans="2:9" ht="56" x14ac:dyDescent="0.3">
      <c r="B54" s="40" t="s">
        <v>3</v>
      </c>
      <c r="C54" s="291" t="s">
        <v>11</v>
      </c>
      <c r="D54" s="289"/>
      <c r="E54" s="289" t="s">
        <v>15</v>
      </c>
      <c r="F54" s="289"/>
      <c r="G54" s="39" t="s">
        <v>77</v>
      </c>
      <c r="H54" s="38" t="s">
        <v>78</v>
      </c>
      <c r="I54" s="3" t="s">
        <v>15</v>
      </c>
    </row>
    <row r="55" spans="2:9" x14ac:dyDescent="0.3">
      <c r="F55"/>
    </row>
    <row r="57" spans="2:9" x14ac:dyDescent="0.3">
      <c r="C57" s="64"/>
    </row>
  </sheetData>
  <hyperlinks>
    <hyperlink ref="H53" r:id="rId1" xr:uid="{D3FF148A-6E9B-4858-AE63-7A442915ADFF}"/>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B1241-681F-497C-9623-8838B507E0C5}">
  <sheetPr codeName="Sheet13">
    <tabColor theme="6" tint="0.79998168889431442"/>
  </sheetPr>
  <dimension ref="B2:K27"/>
  <sheetViews>
    <sheetView zoomScale="115" zoomScaleNormal="80" zoomScaleSheetLayoutView="80" workbookViewId="0"/>
  </sheetViews>
  <sheetFormatPr defaultColWidth="8.6640625" defaultRowHeight="14" x14ac:dyDescent="0.3"/>
  <cols>
    <col min="1" max="1" width="8.6640625" style="3"/>
    <col min="2" max="2" width="16.1640625" style="3" customWidth="1"/>
    <col min="3" max="3" width="13.6640625" style="3" customWidth="1"/>
    <col min="4" max="4" width="17" style="3" bestFit="1" customWidth="1"/>
    <col min="5" max="5" width="18.58203125" style="3" bestFit="1" customWidth="1"/>
    <col min="6" max="6" width="16.58203125" style="3" bestFit="1" customWidth="1"/>
    <col min="7" max="7" width="8.6640625" style="3"/>
    <col min="8" max="8" width="18.9140625" style="3" bestFit="1" customWidth="1"/>
    <col min="9" max="9" width="26.58203125" style="3" bestFit="1" customWidth="1"/>
    <col min="10" max="10" width="23.6640625" style="3" bestFit="1" customWidth="1"/>
    <col min="11" max="11" width="19.6640625" style="3" bestFit="1" customWidth="1"/>
    <col min="12" max="16384" width="8.6640625" style="3"/>
  </cols>
  <sheetData>
    <row r="2" spans="2:11" x14ac:dyDescent="0.3">
      <c r="B2" s="1" t="s">
        <v>52</v>
      </c>
      <c r="C2" s="2"/>
      <c r="D2" s="2"/>
      <c r="E2" s="2"/>
      <c r="F2" s="2"/>
      <c r="G2" s="2"/>
      <c r="H2" s="2"/>
      <c r="I2" s="2"/>
      <c r="J2" s="2"/>
    </row>
    <row r="3" spans="2:11" x14ac:dyDescent="0.3">
      <c r="B3" s="3" t="s">
        <v>44</v>
      </c>
      <c r="C3" s="3" t="s">
        <v>45</v>
      </c>
    </row>
    <row r="4" spans="2:11" x14ac:dyDescent="0.3">
      <c r="B4" s="3" t="s">
        <v>419</v>
      </c>
    </row>
    <row r="6" spans="2:11" x14ac:dyDescent="0.3">
      <c r="B6" s="12"/>
      <c r="C6" s="12"/>
      <c r="D6" s="12"/>
      <c r="E6" s="12"/>
      <c r="F6" s="12"/>
      <c r="G6" s="12"/>
      <c r="H6" s="30" t="s">
        <v>25</v>
      </c>
      <c r="I6" s="30" t="s">
        <v>25</v>
      </c>
      <c r="J6" s="30" t="s">
        <v>25</v>
      </c>
    </row>
    <row r="7" spans="2:11" x14ac:dyDescent="0.3">
      <c r="B7" s="30" t="s">
        <v>7</v>
      </c>
      <c r="C7" s="30" t="s">
        <v>42</v>
      </c>
      <c r="D7" s="30" t="s">
        <v>41</v>
      </c>
      <c r="E7" s="30" t="s">
        <v>51</v>
      </c>
      <c r="F7" s="35" t="s">
        <v>414</v>
      </c>
      <c r="G7" s="30"/>
      <c r="H7" s="30" t="s">
        <v>134</v>
      </c>
      <c r="I7" s="30" t="s">
        <v>417</v>
      </c>
      <c r="J7" s="25" t="s">
        <v>418</v>
      </c>
    </row>
    <row r="8" spans="2:11" x14ac:dyDescent="0.3">
      <c r="B8" s="3" t="s">
        <v>17</v>
      </c>
      <c r="C8" s="3" t="s">
        <v>46</v>
      </c>
      <c r="D8" s="3">
        <v>925</v>
      </c>
      <c r="E8" s="3">
        <v>719</v>
      </c>
      <c r="F8" s="14">
        <v>799</v>
      </c>
      <c r="H8" s="22">
        <f t="shared" ref="H8:I14" si="0">($D8-E8)/$D8</f>
        <v>0.2227027027027027</v>
      </c>
      <c r="I8" s="22">
        <f t="shared" si="0"/>
        <v>0.13621621621621621</v>
      </c>
      <c r="J8" s="102">
        <f t="shared" ref="J8:J13" si="1">(E8-F8)/E8</f>
        <v>-0.11126564673157163</v>
      </c>
      <c r="K8" s="244" t="s">
        <v>415</v>
      </c>
    </row>
    <row r="9" spans="2:11" x14ac:dyDescent="0.3">
      <c r="B9" s="3" t="s">
        <v>43</v>
      </c>
      <c r="C9" s="3" t="s">
        <v>47</v>
      </c>
      <c r="D9" s="3">
        <v>88</v>
      </c>
      <c r="E9" s="3">
        <v>68</v>
      </c>
      <c r="F9" s="14">
        <v>69</v>
      </c>
      <c r="H9" s="22">
        <f t="shared" si="0"/>
        <v>0.22727272727272727</v>
      </c>
      <c r="I9" s="22">
        <f t="shared" si="0"/>
        <v>0.21590909090909091</v>
      </c>
      <c r="J9" s="103">
        <f t="shared" si="1"/>
        <v>-1.4705882352941176E-2</v>
      </c>
      <c r="K9" s="244" t="s">
        <v>416</v>
      </c>
    </row>
    <row r="10" spans="2:11" x14ac:dyDescent="0.3">
      <c r="B10" s="14" t="s">
        <v>37</v>
      </c>
      <c r="C10" s="14" t="s">
        <v>48</v>
      </c>
      <c r="D10" s="14">
        <v>124770</v>
      </c>
      <c r="E10" s="14">
        <v>92910</v>
      </c>
      <c r="F10" s="14">
        <v>89930</v>
      </c>
      <c r="G10" s="14"/>
      <c r="H10" s="54">
        <f t="shared" si="0"/>
        <v>0.25534984371243086</v>
      </c>
      <c r="I10" s="54">
        <f t="shared" si="0"/>
        <v>0.27923379017392003</v>
      </c>
      <c r="J10" s="104">
        <f t="shared" si="1"/>
        <v>3.2074050156065008E-2</v>
      </c>
      <c r="K10" s="16"/>
    </row>
    <row r="11" spans="2:11" x14ac:dyDescent="0.3">
      <c r="B11" s="14" t="s">
        <v>38</v>
      </c>
      <c r="C11" s="14" t="s">
        <v>48</v>
      </c>
      <c r="D11" s="14">
        <v>250950</v>
      </c>
      <c r="E11" s="14">
        <v>123790</v>
      </c>
      <c r="F11" s="14">
        <v>95245</v>
      </c>
      <c r="G11" s="14"/>
      <c r="H11" s="54">
        <f t="shared" si="0"/>
        <v>0.50671448495716276</v>
      </c>
      <c r="I11" s="54">
        <f t="shared" si="0"/>
        <v>0.62046224347479573</v>
      </c>
      <c r="J11" s="104">
        <f t="shared" si="1"/>
        <v>0.23059213183617416</v>
      </c>
      <c r="K11" s="16"/>
    </row>
    <row r="12" spans="2:11" x14ac:dyDescent="0.3">
      <c r="B12" s="3" t="s">
        <v>39</v>
      </c>
      <c r="C12" s="3" t="s">
        <v>49</v>
      </c>
      <c r="D12" s="3">
        <v>0.1</v>
      </c>
      <c r="E12" s="3">
        <v>7.0000000000000007E-2</v>
      </c>
      <c r="F12" s="14">
        <v>0.05</v>
      </c>
      <c r="H12" s="22">
        <f t="shared" si="0"/>
        <v>0.3</v>
      </c>
      <c r="I12" s="22">
        <f t="shared" si="0"/>
        <v>0.5</v>
      </c>
      <c r="J12" s="103">
        <f t="shared" si="1"/>
        <v>0.28571428571428575</v>
      </c>
      <c r="K12" s="16"/>
    </row>
    <row r="13" spans="2:11" x14ac:dyDescent="0.3">
      <c r="B13" s="3" t="s">
        <v>40</v>
      </c>
      <c r="C13" s="3" t="s">
        <v>50</v>
      </c>
      <c r="D13" s="3">
        <v>4665</v>
      </c>
      <c r="E13" s="3">
        <v>3080</v>
      </c>
      <c r="F13" s="14">
        <v>2690</v>
      </c>
      <c r="H13" s="22">
        <f t="shared" si="0"/>
        <v>0.33976420150053588</v>
      </c>
      <c r="I13" s="22">
        <f t="shared" si="0"/>
        <v>0.42336548767416937</v>
      </c>
      <c r="J13" s="105">
        <f t="shared" si="1"/>
        <v>0.12662337662337661</v>
      </c>
      <c r="K13" s="16"/>
    </row>
    <row r="14" spans="2:11" x14ac:dyDescent="0.3">
      <c r="B14" s="3" t="s">
        <v>568</v>
      </c>
      <c r="C14" s="3" t="s">
        <v>48</v>
      </c>
      <c r="D14" s="3">
        <f>SUM(D10:D11)</f>
        <v>375720</v>
      </c>
      <c r="E14" s="3">
        <f>SUM(E10:E11)</f>
        <v>216700</v>
      </c>
      <c r="H14" s="22">
        <f t="shared" si="0"/>
        <v>0.42324071116789097</v>
      </c>
    </row>
    <row r="17" spans="2:10" x14ac:dyDescent="0.3">
      <c r="B17" s="4" t="s">
        <v>58</v>
      </c>
    </row>
    <row r="18" spans="2:10" x14ac:dyDescent="0.3">
      <c r="B18" s="12"/>
      <c r="C18" s="12"/>
      <c r="D18" s="12"/>
      <c r="E18" s="12"/>
      <c r="F18" s="12"/>
    </row>
    <row r="19" spans="2:10" x14ac:dyDescent="0.3">
      <c r="B19" s="30" t="s">
        <v>7</v>
      </c>
      <c r="C19" s="30" t="s">
        <v>42</v>
      </c>
      <c r="D19" s="30" t="s">
        <v>41</v>
      </c>
      <c r="E19" s="30" t="s">
        <v>51</v>
      </c>
      <c r="F19" s="35" t="s">
        <v>414</v>
      </c>
      <c r="H19" s="30" t="s">
        <v>53</v>
      </c>
      <c r="I19" s="30" t="s">
        <v>55</v>
      </c>
      <c r="J19" s="12"/>
    </row>
    <row r="20" spans="2:10" x14ac:dyDescent="0.3">
      <c r="B20" s="3" t="s">
        <v>37</v>
      </c>
      <c r="C20" s="3" t="s">
        <v>48</v>
      </c>
      <c r="D20" s="3">
        <v>124770</v>
      </c>
      <c r="E20" s="3">
        <v>92910</v>
      </c>
      <c r="F20" s="14">
        <v>89930</v>
      </c>
      <c r="H20" s="3">
        <v>0.9</v>
      </c>
      <c r="I20" s="107">
        <v>1611.2243867172438</v>
      </c>
      <c r="J20" s="3" t="s">
        <v>56</v>
      </c>
    </row>
    <row r="21" spans="2:10" x14ac:dyDescent="0.3">
      <c r="B21" s="3" t="s">
        <v>38</v>
      </c>
      <c r="C21" s="3" t="s">
        <v>48</v>
      </c>
      <c r="D21" s="3">
        <v>250950</v>
      </c>
      <c r="E21" s="3">
        <v>123790</v>
      </c>
      <c r="F21" s="14">
        <v>95245</v>
      </c>
      <c r="H21" s="3">
        <v>0.4</v>
      </c>
      <c r="I21" s="107">
        <v>1611.2243867172438</v>
      </c>
      <c r="J21" s="3" t="s">
        <v>56</v>
      </c>
    </row>
    <row r="23" spans="2:10" x14ac:dyDescent="0.3">
      <c r="B23" s="3" t="s">
        <v>37</v>
      </c>
      <c r="C23" s="3" t="s">
        <v>54</v>
      </c>
      <c r="D23" s="107">
        <f t="shared" ref="D23:F24" si="2">D20*$H20*$I20</f>
        <v>180929220.05763945</v>
      </c>
      <c r="E23" s="107">
        <f t="shared" si="2"/>
        <v>134728971.99290919</v>
      </c>
      <c r="F23" s="107">
        <f t="shared" si="2"/>
        <v>130407668.18773356</v>
      </c>
      <c r="H23" s="30" t="s">
        <v>25</v>
      </c>
      <c r="I23" s="12"/>
      <c r="J23" s="12"/>
    </row>
    <row r="24" spans="2:10" x14ac:dyDescent="0.3">
      <c r="B24" s="3" t="s">
        <v>38</v>
      </c>
      <c r="C24" s="3" t="s">
        <v>54</v>
      </c>
      <c r="D24" s="107">
        <f t="shared" si="2"/>
        <v>161734703.93867692</v>
      </c>
      <c r="E24" s="107">
        <f t="shared" si="2"/>
        <v>79781386.732691035</v>
      </c>
      <c r="F24" s="107">
        <f t="shared" si="2"/>
        <v>61384426.685153551</v>
      </c>
      <c r="H24" s="30" t="s">
        <v>135</v>
      </c>
      <c r="I24" s="30" t="s">
        <v>417</v>
      </c>
      <c r="J24" s="30" t="s">
        <v>418</v>
      </c>
    </row>
    <row r="25" spans="2:10" x14ac:dyDescent="0.3">
      <c r="B25" s="3" t="s">
        <v>37</v>
      </c>
      <c r="C25" s="3" t="s">
        <v>57</v>
      </c>
      <c r="D25" s="107">
        <f t="shared" ref="D25:F26" si="3">D23/10^6</f>
        <v>180.92922005763944</v>
      </c>
      <c r="E25" s="107">
        <f t="shared" si="3"/>
        <v>134.72897199290918</v>
      </c>
      <c r="F25" s="107">
        <f t="shared" si="3"/>
        <v>130.40766818773355</v>
      </c>
      <c r="H25" s="36">
        <f>($D27-E27)/$D27</f>
        <v>0.37399199710353465</v>
      </c>
      <c r="I25" s="36">
        <f>($D27-F27)/$D27</f>
        <v>0.44029096312178795</v>
      </c>
      <c r="J25" s="106">
        <f>(E27-F27)/E27</f>
        <v>0.10590753746197457</v>
      </c>
    </row>
    <row r="26" spans="2:10" x14ac:dyDescent="0.3">
      <c r="B26" s="3" t="s">
        <v>38</v>
      </c>
      <c r="C26" s="3" t="s">
        <v>57</v>
      </c>
      <c r="D26" s="107">
        <f t="shared" si="3"/>
        <v>161.73470393867692</v>
      </c>
      <c r="E26" s="107">
        <f t="shared" si="3"/>
        <v>79.781386732691033</v>
      </c>
      <c r="F26" s="107">
        <f t="shared" si="3"/>
        <v>61.384426685153549</v>
      </c>
    </row>
    <row r="27" spans="2:10" x14ac:dyDescent="0.3">
      <c r="D27" s="108">
        <f>D26+D25</f>
        <v>342.66392399631638</v>
      </c>
      <c r="E27" s="108">
        <f>E26+E25</f>
        <v>214.51035872560021</v>
      </c>
      <c r="F27" s="108">
        <f>F26+F25</f>
        <v>191.79209487288711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4B148-963B-4E0E-B5E8-2973DD995C6F}">
  <sheetPr codeName="Sheet14">
    <tabColor theme="6" tint="0.79998168889431442"/>
  </sheetPr>
  <dimension ref="B2:L37"/>
  <sheetViews>
    <sheetView showGridLines="0" zoomScale="77" zoomScaleNormal="70" workbookViewId="0"/>
  </sheetViews>
  <sheetFormatPr defaultRowHeight="14" x14ac:dyDescent="0.3"/>
  <cols>
    <col min="2" max="2" width="76.6640625" bestFit="1" customWidth="1"/>
    <col min="3" max="3" width="40.6640625" customWidth="1"/>
    <col min="4" max="4" width="33.08203125" customWidth="1"/>
    <col min="5" max="5" width="33.6640625" bestFit="1" customWidth="1"/>
    <col min="6" max="6" width="36.1640625" bestFit="1" customWidth="1"/>
    <col min="7" max="7" width="32.4140625" customWidth="1"/>
    <col min="8" max="8" width="56.5" bestFit="1" customWidth="1"/>
    <col min="9" max="9" width="13.58203125" customWidth="1"/>
  </cols>
  <sheetData>
    <row r="2" spans="2:12" ht="23" x14ac:dyDescent="0.5">
      <c r="B2" s="50" t="s">
        <v>694</v>
      </c>
      <c r="C2" s="50"/>
      <c r="D2" s="50"/>
      <c r="E2" s="50"/>
      <c r="F2" s="50"/>
      <c r="G2" s="50"/>
      <c r="H2" s="50"/>
      <c r="I2" s="50"/>
      <c r="J2" s="50"/>
      <c r="K2" s="50"/>
      <c r="L2" s="50"/>
    </row>
    <row r="4" spans="2:12" x14ac:dyDescent="0.3">
      <c r="B4" s="42" t="s">
        <v>444</v>
      </c>
      <c r="C4" s="53">
        <f>D12</f>
        <v>0.84587435536802624</v>
      </c>
    </row>
    <row r="7" spans="2:12" ht="26" customHeight="1" x14ac:dyDescent="0.4">
      <c r="B7" s="150" t="s">
        <v>203</v>
      </c>
      <c r="C7" s="149"/>
      <c r="D7" s="149"/>
      <c r="E7" s="149"/>
      <c r="F7" s="149"/>
      <c r="G7" s="149"/>
      <c r="H7" s="149"/>
      <c r="I7" s="149"/>
      <c r="J7" s="149"/>
      <c r="K7" s="149"/>
      <c r="L7" s="149"/>
    </row>
    <row r="9" spans="2:12" x14ac:dyDescent="0.3">
      <c r="B9" s="43" t="s">
        <v>204</v>
      </c>
      <c r="C9" s="43" t="s">
        <v>205</v>
      </c>
      <c r="D9" s="43" t="s">
        <v>602</v>
      </c>
      <c r="E9" s="43" t="s">
        <v>13</v>
      </c>
      <c r="F9" s="43" t="s">
        <v>14</v>
      </c>
    </row>
    <row r="10" spans="2:12" x14ac:dyDescent="0.3">
      <c r="B10" s="41" t="s">
        <v>208</v>
      </c>
      <c r="C10" s="41">
        <v>39.5</v>
      </c>
      <c r="D10" s="41">
        <f>80-C10</f>
        <v>40.5</v>
      </c>
      <c r="E10" s="41" t="s">
        <v>206</v>
      </c>
      <c r="F10" s="41" t="s">
        <v>445</v>
      </c>
    </row>
    <row r="11" spans="2:12" x14ac:dyDescent="0.3">
      <c r="B11" s="41" t="s">
        <v>446</v>
      </c>
      <c r="C11" s="246">
        <f>'L2Health Benefits'!F25</f>
        <v>73.757911392405063</v>
      </c>
      <c r="D11" s="41">
        <f>80-C11</f>
        <v>6.2420886075949369</v>
      </c>
      <c r="E11" s="41"/>
      <c r="F11" s="41"/>
    </row>
    <row r="12" spans="2:12" x14ac:dyDescent="0.3">
      <c r="B12" s="41" t="s">
        <v>207</v>
      </c>
      <c r="C12" s="51">
        <f>(C11-C10)/C10</f>
        <v>0.86728889601025472</v>
      </c>
      <c r="D12" s="51">
        <f>ABS(D11-D10)/D10</f>
        <v>0.84587435536802624</v>
      </c>
      <c r="E12" s="41" t="s">
        <v>152</v>
      </c>
      <c r="F12" s="41"/>
    </row>
    <row r="14" spans="2:12" x14ac:dyDescent="0.3">
      <c r="B14" s="100" t="s">
        <v>424</v>
      </c>
      <c r="C14" s="100"/>
      <c r="D14" s="100"/>
      <c r="E14" s="101"/>
      <c r="F14" s="101"/>
      <c r="G14" s="101"/>
      <c r="H14" s="101"/>
    </row>
    <row r="16" spans="2:12" x14ac:dyDescent="0.3">
      <c r="B16" s="30" t="s">
        <v>425</v>
      </c>
      <c r="C16" s="30" t="s">
        <v>398</v>
      </c>
      <c r="D16" s="30" t="s">
        <v>432</v>
      </c>
      <c r="E16" s="30" t="s">
        <v>42</v>
      </c>
      <c r="F16" s="30" t="s">
        <v>434</v>
      </c>
      <c r="G16" s="30" t="s">
        <v>435</v>
      </c>
      <c r="H16" s="30" t="s">
        <v>441</v>
      </c>
    </row>
    <row r="17" spans="2:8" ht="56" x14ac:dyDescent="0.3">
      <c r="B17" t="s">
        <v>96</v>
      </c>
      <c r="C17" s="109" t="s">
        <v>442</v>
      </c>
      <c r="D17" s="125">
        <f>5-(1.5/7)</f>
        <v>4.7857142857142856</v>
      </c>
      <c r="E17" t="s">
        <v>433</v>
      </c>
      <c r="F17" s="340">
        <v>10</v>
      </c>
      <c r="G17" s="340">
        <v>10</v>
      </c>
      <c r="H17" s="52">
        <f t="shared" ref="H17:H25" si="0">F17/G17</f>
        <v>1</v>
      </c>
    </row>
    <row r="18" spans="2:8" x14ac:dyDescent="0.3">
      <c r="B18" t="s">
        <v>136</v>
      </c>
      <c r="C18" s="109" t="s">
        <v>436</v>
      </c>
      <c r="D18">
        <v>3</v>
      </c>
      <c r="E18" t="s">
        <v>437</v>
      </c>
      <c r="F18" s="340">
        <v>10</v>
      </c>
      <c r="G18" s="340">
        <v>10</v>
      </c>
      <c r="H18" s="52">
        <f t="shared" si="0"/>
        <v>1</v>
      </c>
    </row>
    <row r="19" spans="2:8" x14ac:dyDescent="0.3">
      <c r="B19" t="s">
        <v>426</v>
      </c>
      <c r="C19" s="109" t="s">
        <v>438</v>
      </c>
      <c r="D19" s="125">
        <f>15/7</f>
        <v>2.1428571428571428</v>
      </c>
      <c r="E19" t="s">
        <v>437</v>
      </c>
      <c r="F19" s="340">
        <v>10</v>
      </c>
      <c r="G19" s="340">
        <v>10</v>
      </c>
      <c r="H19" s="52">
        <f t="shared" si="0"/>
        <v>1</v>
      </c>
    </row>
    <row r="20" spans="2:8" x14ac:dyDescent="0.3">
      <c r="B20" t="s">
        <v>427</v>
      </c>
      <c r="C20" s="248" t="s">
        <v>443</v>
      </c>
      <c r="D20" s="65"/>
      <c r="F20" s="340">
        <v>10</v>
      </c>
      <c r="G20" s="340">
        <v>10</v>
      </c>
      <c r="H20" s="52">
        <f t="shared" si="0"/>
        <v>1</v>
      </c>
    </row>
    <row r="21" spans="2:8" x14ac:dyDescent="0.3">
      <c r="B21" t="s">
        <v>439</v>
      </c>
      <c r="C21" s="248" t="s">
        <v>443</v>
      </c>
      <c r="F21" s="340">
        <v>10</v>
      </c>
      <c r="G21" s="340">
        <v>10</v>
      </c>
      <c r="H21" s="52">
        <f t="shared" si="0"/>
        <v>1</v>
      </c>
    </row>
    <row r="22" spans="2:8" ht="28" x14ac:dyDescent="0.3">
      <c r="B22" t="s">
        <v>428</v>
      </c>
      <c r="C22" s="248" t="s">
        <v>566</v>
      </c>
      <c r="D22" s="125">
        <f>'L2Diet Components'!F11*0.15</f>
        <v>0.97499999999999998</v>
      </c>
      <c r="E22" t="s">
        <v>437</v>
      </c>
      <c r="F22" s="344">
        <f>(D22-0.5)/(1.764-0.5)*10</f>
        <v>3.7579113924050631</v>
      </c>
      <c r="G22" s="341">
        <v>10</v>
      </c>
      <c r="H22" s="52">
        <f t="shared" si="0"/>
        <v>0.37579113924050633</v>
      </c>
    </row>
    <row r="23" spans="2:8" x14ac:dyDescent="0.3">
      <c r="B23" t="s">
        <v>429</v>
      </c>
      <c r="C23" s="248" t="s">
        <v>443</v>
      </c>
      <c r="F23" s="340">
        <v>10</v>
      </c>
      <c r="G23" s="340">
        <v>10</v>
      </c>
      <c r="H23" s="52">
        <f t="shared" si="0"/>
        <v>1</v>
      </c>
    </row>
    <row r="24" spans="2:8" x14ac:dyDescent="0.3">
      <c r="B24" t="s">
        <v>430</v>
      </c>
      <c r="C24" s="248" t="s">
        <v>443</v>
      </c>
      <c r="F24" s="340">
        <v>10</v>
      </c>
      <c r="G24" s="340">
        <v>10</v>
      </c>
      <c r="H24" s="52">
        <f t="shared" si="0"/>
        <v>1</v>
      </c>
    </row>
    <row r="25" spans="2:8" x14ac:dyDescent="0.3">
      <c r="E25" s="30" t="s">
        <v>440</v>
      </c>
      <c r="F25" s="342">
        <f>SUM(F17:F24)</f>
        <v>73.757911392405063</v>
      </c>
      <c r="G25" s="343">
        <f>SUM(G17:G24)</f>
        <v>80</v>
      </c>
      <c r="H25" s="247">
        <f t="shared" si="0"/>
        <v>0.92197389240506333</v>
      </c>
    </row>
    <row r="27" spans="2:8" x14ac:dyDescent="0.3">
      <c r="B27" s="220" t="s">
        <v>431</v>
      </c>
      <c r="C27" s="61"/>
      <c r="D27" s="61"/>
      <c r="E27" s="61"/>
    </row>
    <row r="34" spans="3:3" x14ac:dyDescent="0.3">
      <c r="C34" s="245"/>
    </row>
    <row r="35" spans="3:3" x14ac:dyDescent="0.3">
      <c r="C35" s="245"/>
    </row>
    <row r="36" spans="3:3" x14ac:dyDescent="0.3">
      <c r="C36" s="245"/>
    </row>
    <row r="37" spans="3:3" x14ac:dyDescent="0.3">
      <c r="C37" s="245"/>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F815C-A88C-45F1-BEA2-B8B8A8E7F12B}">
  <sheetPr codeName="Sheet17">
    <tabColor theme="6" tint="0.79998168889431442"/>
  </sheetPr>
  <dimension ref="B2:G32"/>
  <sheetViews>
    <sheetView showGridLines="0" zoomScaleNormal="70" workbookViewId="0"/>
  </sheetViews>
  <sheetFormatPr defaultRowHeight="14" x14ac:dyDescent="0.3"/>
  <cols>
    <col min="2" max="2" width="40.1640625" bestFit="1" customWidth="1"/>
    <col min="3" max="3" width="25.33203125" bestFit="1" customWidth="1"/>
    <col min="4" max="4" width="19.1640625" bestFit="1" customWidth="1"/>
    <col min="5" max="5" width="34.08203125" bestFit="1" customWidth="1"/>
    <col min="6" max="6" width="35.1640625" bestFit="1" customWidth="1"/>
    <col min="7" max="7" width="37" bestFit="1" customWidth="1"/>
    <col min="8" max="8" width="21.6640625" bestFit="1" customWidth="1"/>
  </cols>
  <sheetData>
    <row r="2" spans="2:7" ht="24" customHeight="1" x14ac:dyDescent="0.4">
      <c r="B2" s="242" t="s">
        <v>447</v>
      </c>
      <c r="C2" s="243"/>
      <c r="D2" s="243"/>
      <c r="E2" s="243"/>
      <c r="F2" s="243"/>
      <c r="G2" s="243"/>
    </row>
    <row r="3" spans="2:7" x14ac:dyDescent="0.3">
      <c r="B3" t="s">
        <v>448</v>
      </c>
    </row>
    <row r="5" spans="2:7" x14ac:dyDescent="0.3">
      <c r="B5" s="25" t="s">
        <v>545</v>
      </c>
      <c r="C5" s="26"/>
      <c r="D5" s="26"/>
      <c r="E5" s="26"/>
      <c r="F5" s="26"/>
      <c r="G5" s="26"/>
    </row>
    <row r="7" spans="2:7" x14ac:dyDescent="0.3">
      <c r="B7" s="34" t="str">
        <f>'L2Diet Components'!B6</f>
        <v>Food group</v>
      </c>
      <c r="C7" s="34" t="str">
        <f>'L2Diet Components'!F6</f>
        <v>Unit / day</v>
      </c>
      <c r="D7" s="34" t="str">
        <f>'L2Diet Components'!G6</f>
        <v>Unit</v>
      </c>
      <c r="E7" s="34" t="str">
        <f>'L2Diet Components'!K6</f>
        <v>Calories per unit</v>
      </c>
      <c r="F7" s="34" t="str">
        <f>'L2Diet Components'!L6</f>
        <v>Calories per day</v>
      </c>
      <c r="G7" s="34" t="str">
        <f>'L2Diet Components'!M6</f>
        <v>Calories per week</v>
      </c>
    </row>
    <row r="8" spans="2:7" x14ac:dyDescent="0.3">
      <c r="B8" s="223" t="str">
        <f>'L2Diet Components'!B7</f>
        <v>Vegetables</v>
      </c>
      <c r="C8" s="223">
        <f>'L2Diet Components'!F7</f>
        <v>2.5</v>
      </c>
      <c r="D8" s="223" t="str">
        <f>'L2Diet Components'!G7</f>
        <v>Cup eq / day</v>
      </c>
      <c r="E8" s="223">
        <f>'L2Diet Components'!K7</f>
        <v>118</v>
      </c>
      <c r="F8" s="223">
        <f>'L2Diet Components'!L7</f>
        <v>295</v>
      </c>
      <c r="G8" s="223">
        <f>'L2Diet Components'!M7</f>
        <v>2065</v>
      </c>
    </row>
    <row r="9" spans="2:7" x14ac:dyDescent="0.3">
      <c r="B9" s="223" t="str">
        <f>'L2Diet Components'!B8</f>
        <v>Fruits</v>
      </c>
      <c r="C9" s="223">
        <f>'L2Diet Components'!F8</f>
        <v>2.5</v>
      </c>
      <c r="D9" s="223" t="str">
        <f>'L2Diet Components'!G8</f>
        <v>Cup eq / day</v>
      </c>
      <c r="E9" s="223">
        <f>'L2Diet Components'!K8</f>
        <v>57</v>
      </c>
      <c r="F9" s="223">
        <f>'L2Diet Components'!L8</f>
        <v>142.5</v>
      </c>
      <c r="G9" s="223">
        <f>'L2Diet Components'!M8</f>
        <v>997.5</v>
      </c>
    </row>
    <row r="10" spans="2:7" x14ac:dyDescent="0.3">
      <c r="B10" s="223" t="str">
        <f>'L2Diet Components'!B9</f>
        <v>Grains</v>
      </c>
      <c r="C10" s="223">
        <f>'L2Diet Components'!F9</f>
        <v>6</v>
      </c>
      <c r="D10" s="223" t="str">
        <f>'L2Diet Components'!G9</f>
        <v>Ounce eq / day</v>
      </c>
      <c r="E10" s="223">
        <f>'L2Diet Components'!K9</f>
        <v>108</v>
      </c>
      <c r="F10" s="223">
        <f>'L2Diet Components'!L9</f>
        <v>648</v>
      </c>
      <c r="G10" s="223">
        <f>'L2Diet Components'!M9</f>
        <v>4536</v>
      </c>
    </row>
    <row r="11" spans="2:7" x14ac:dyDescent="0.3">
      <c r="B11" s="223" t="str">
        <f>'L2Diet Components'!B10</f>
        <v>Dairy</v>
      </c>
      <c r="C11" s="223">
        <f>'L2Diet Components'!F10</f>
        <v>2</v>
      </c>
      <c r="D11" s="223" t="str">
        <f>'L2Diet Components'!G10</f>
        <v>Cup eq / day</v>
      </c>
      <c r="E11" s="223">
        <f>'L2Diet Components'!K10</f>
        <v>103</v>
      </c>
      <c r="F11" s="223">
        <f>'L2Diet Components'!L10</f>
        <v>206</v>
      </c>
      <c r="G11" s="223">
        <f>'L2Diet Components'!M10</f>
        <v>1442</v>
      </c>
    </row>
    <row r="12" spans="2:7" x14ac:dyDescent="0.3">
      <c r="B12" s="223" t="str">
        <f>'L2Diet Components'!B11</f>
        <v>Protein foods</v>
      </c>
      <c r="C12" s="223">
        <f>'L2Diet Components'!F11</f>
        <v>6.5</v>
      </c>
      <c r="D12" s="223" t="str">
        <f>'L2Diet Components'!G11</f>
        <v>Ounce eq / day</v>
      </c>
      <c r="E12" s="223">
        <f>'L2Diet Components'!K11</f>
        <v>77</v>
      </c>
      <c r="F12" s="223">
        <f>'L2Diet Components'!L11</f>
        <v>500.5</v>
      </c>
      <c r="G12" s="223">
        <f>'L2Diet Components'!M11</f>
        <v>3503.5</v>
      </c>
    </row>
    <row r="13" spans="2:7" x14ac:dyDescent="0.3">
      <c r="B13" s="223" t="str">
        <f>'L2Diet Components'!B12</f>
        <v>Oils</v>
      </c>
      <c r="C13" s="223">
        <f>'L2Diet Components'!F12</f>
        <v>27</v>
      </c>
      <c r="D13" s="223" t="str">
        <f>'L2Diet Components'!G12</f>
        <v>Grams / day</v>
      </c>
      <c r="E13" s="223">
        <f>'L2Diet Components'!K12</f>
        <v>9</v>
      </c>
      <c r="F13" s="223">
        <f>'L2Diet Components'!L12</f>
        <v>243</v>
      </c>
      <c r="G13" s="223">
        <f>'L2Diet Components'!M12</f>
        <v>1701</v>
      </c>
    </row>
    <row r="14" spans="2:7" x14ac:dyDescent="0.3">
      <c r="B14" s="223" t="str">
        <f>'L2Diet Components'!B13</f>
        <v>Limit on calories for other uses</v>
      </c>
      <c r="C14" s="223">
        <f>'L2Diet Components'!F13</f>
        <v>240</v>
      </c>
      <c r="D14" s="223" t="str">
        <f>'L2Diet Components'!G13</f>
        <v>kcal / day</v>
      </c>
      <c r="E14" s="223">
        <f>'L2Diet Components'!K13</f>
        <v>1</v>
      </c>
      <c r="F14" s="223">
        <f>'L2Diet Components'!L13</f>
        <v>240</v>
      </c>
      <c r="G14" s="223">
        <f>'L2Diet Components'!M13</f>
        <v>1680</v>
      </c>
    </row>
    <row r="15" spans="2:7" x14ac:dyDescent="0.3">
      <c r="B15" s="34"/>
      <c r="E15" s="30" t="str">
        <f>'L2Diet Components'!K14</f>
        <v>Total</v>
      </c>
      <c r="F15" s="30">
        <f>'L2Diet Components'!L14</f>
        <v>2275</v>
      </c>
      <c r="G15" s="30">
        <f>'L2Diet Components'!M14</f>
        <v>15925</v>
      </c>
    </row>
    <row r="17" spans="2:7" x14ac:dyDescent="0.3">
      <c r="B17" s="220" t="s">
        <v>546</v>
      </c>
      <c r="C17" s="61"/>
      <c r="D17" s="61"/>
      <c r="E17" s="61"/>
      <c r="F17" s="61"/>
      <c r="G17" s="61"/>
    </row>
    <row r="19" spans="2:7" x14ac:dyDescent="0.3">
      <c r="B19" s="34" t="s">
        <v>393</v>
      </c>
      <c r="C19" s="34" t="s">
        <v>398</v>
      </c>
      <c r="D19" s="34" t="s">
        <v>317</v>
      </c>
      <c r="E19" s="34" t="s">
        <v>412</v>
      </c>
      <c r="F19" s="34" t="s">
        <v>413</v>
      </c>
      <c r="G19" s="34" t="s">
        <v>402</v>
      </c>
    </row>
    <row r="20" spans="2:7" x14ac:dyDescent="0.3">
      <c r="B20" t="s">
        <v>143</v>
      </c>
      <c r="C20" t="s">
        <v>394</v>
      </c>
      <c r="D20" s="215">
        <f>G10</f>
        <v>4536</v>
      </c>
      <c r="E20" s="214">
        <v>0.4</v>
      </c>
      <c r="F20" s="214">
        <v>0.89</v>
      </c>
      <c r="G20" t="s">
        <v>403</v>
      </c>
    </row>
    <row r="21" spans="2:7" ht="28" x14ac:dyDescent="0.3">
      <c r="B21" t="s">
        <v>96</v>
      </c>
      <c r="C21" s="109" t="s">
        <v>399</v>
      </c>
      <c r="D21" s="215">
        <f>SUM('L2Diet Components'!M8,'L2Diet Components'!L19,'L2Diet Components'!L23)</f>
        <v>1480</v>
      </c>
      <c r="E21" s="214">
        <v>0.76</v>
      </c>
      <c r="F21" s="214">
        <v>0.04</v>
      </c>
      <c r="G21" t="s">
        <v>403</v>
      </c>
    </row>
    <row r="22" spans="2:7" ht="28" x14ac:dyDescent="0.3">
      <c r="B22" t="s">
        <v>89</v>
      </c>
      <c r="C22" s="109" t="s">
        <v>400</v>
      </c>
      <c r="D22" s="215">
        <f>SUM('L2Diet Components'!L20,'L2Diet Components'!L22)</f>
        <v>827.5</v>
      </c>
      <c r="E22" s="214">
        <v>0.79</v>
      </c>
      <c r="F22" s="214">
        <v>1.41</v>
      </c>
      <c r="G22" t="s">
        <v>404</v>
      </c>
    </row>
    <row r="23" spans="2:7" ht="28" x14ac:dyDescent="0.3">
      <c r="B23" t="s">
        <v>90</v>
      </c>
      <c r="C23" s="109" t="s">
        <v>401</v>
      </c>
      <c r="D23" s="215">
        <f>SUM('L2Diet Components'!L21,'L2Diet Components'!L40)</f>
        <v>1037</v>
      </c>
      <c r="E23" s="214">
        <v>0.4</v>
      </c>
      <c r="F23" s="214">
        <v>0.19</v>
      </c>
      <c r="G23" t="s">
        <v>403</v>
      </c>
    </row>
    <row r="24" spans="2:7" x14ac:dyDescent="0.3">
      <c r="B24" t="s">
        <v>91</v>
      </c>
      <c r="C24" s="241" t="s">
        <v>407</v>
      </c>
      <c r="D24" s="145">
        <f>0.2*'L2Diet Components'!$L$38</f>
        <v>369.20000000000005</v>
      </c>
      <c r="E24" s="214">
        <v>-0.64</v>
      </c>
      <c r="F24" s="214">
        <v>-0.24</v>
      </c>
      <c r="G24" s="99" t="s">
        <v>403</v>
      </c>
    </row>
    <row r="25" spans="2:7" x14ac:dyDescent="0.3">
      <c r="B25" t="s">
        <v>92</v>
      </c>
      <c r="C25" s="109" t="s">
        <v>377</v>
      </c>
      <c r="D25" s="215">
        <f>'L2Diet Components'!L39</f>
        <v>870</v>
      </c>
      <c r="E25" s="214">
        <v>5.85</v>
      </c>
      <c r="F25" s="214">
        <v>4.54</v>
      </c>
      <c r="G25" t="s">
        <v>403</v>
      </c>
    </row>
    <row r="26" spans="2:7" x14ac:dyDescent="0.3">
      <c r="B26" t="s">
        <v>97</v>
      </c>
      <c r="C26" s="241" t="s">
        <v>410</v>
      </c>
      <c r="D26" s="145">
        <f>0.6*'L2Diet Components'!$L$38</f>
        <v>1107.5999999999999</v>
      </c>
      <c r="E26" s="214">
        <v>0.23</v>
      </c>
      <c r="F26" s="214">
        <v>1.58</v>
      </c>
      <c r="G26" s="241" t="s">
        <v>411</v>
      </c>
    </row>
    <row r="27" spans="2:7" x14ac:dyDescent="0.3">
      <c r="B27" t="s">
        <v>93</v>
      </c>
      <c r="C27" s="109" t="s">
        <v>93</v>
      </c>
      <c r="D27" s="215">
        <f>G11</f>
        <v>1442</v>
      </c>
      <c r="E27" s="214">
        <v>-0.01</v>
      </c>
      <c r="F27" s="214">
        <v>-0.18</v>
      </c>
      <c r="G27" t="s">
        <v>403</v>
      </c>
    </row>
    <row r="28" spans="2:7" x14ac:dyDescent="0.3">
      <c r="B28" t="s">
        <v>94</v>
      </c>
      <c r="C28" s="241" t="s">
        <v>407</v>
      </c>
      <c r="D28" s="145">
        <f>0.2*'L2Diet Components'!$L$38</f>
        <v>369.20000000000005</v>
      </c>
      <c r="E28" s="214">
        <v>0.17</v>
      </c>
      <c r="F28" s="214">
        <v>2.13</v>
      </c>
      <c r="G28" s="241" t="s">
        <v>409</v>
      </c>
    </row>
    <row r="29" spans="2:7" x14ac:dyDescent="0.3">
      <c r="B29" t="s">
        <v>395</v>
      </c>
      <c r="C29" t="s">
        <v>348</v>
      </c>
      <c r="D29" s="215">
        <f>G13</f>
        <v>1701</v>
      </c>
      <c r="E29" s="214">
        <v>-0.66</v>
      </c>
      <c r="F29" s="214">
        <v>-0.66</v>
      </c>
      <c r="G29" t="s">
        <v>403</v>
      </c>
    </row>
    <row r="30" spans="2:7" x14ac:dyDescent="0.3">
      <c r="B30" t="s">
        <v>95</v>
      </c>
      <c r="C30" s="241" t="s">
        <v>405</v>
      </c>
      <c r="D30" s="215">
        <f>G14</f>
        <v>1680</v>
      </c>
      <c r="E30" s="214">
        <v>-0.27</v>
      </c>
      <c r="F30" s="214">
        <v>-0.27</v>
      </c>
      <c r="G30" s="241" t="s">
        <v>406</v>
      </c>
    </row>
    <row r="31" spans="2:7" x14ac:dyDescent="0.3">
      <c r="B31" t="s">
        <v>396</v>
      </c>
      <c r="C31" t="s">
        <v>397</v>
      </c>
      <c r="D31" s="215">
        <v>0</v>
      </c>
      <c r="E31" s="65">
        <v>0</v>
      </c>
      <c r="F31" s="65">
        <v>0</v>
      </c>
      <c r="G31" t="s">
        <v>403</v>
      </c>
    </row>
    <row r="32" spans="2:7" x14ac:dyDescent="0.3">
      <c r="B32" t="s">
        <v>318</v>
      </c>
      <c r="C32" t="s">
        <v>397</v>
      </c>
      <c r="D32" s="215">
        <v>0</v>
      </c>
      <c r="E32" s="65">
        <v>0</v>
      </c>
      <c r="F32" s="65">
        <v>0</v>
      </c>
      <c r="G32" t="s">
        <v>403</v>
      </c>
    </row>
  </sheetData>
  <conditionalFormatting sqref="E20:F30">
    <cfRule type="cellIs" dxfId="1" priority="1" operator="lessThan">
      <formula>0</formula>
    </cfRule>
    <cfRule type="cellIs" dxfId="0" priority="2" operator="greaterThan">
      <formula>0</formula>
    </cfRule>
  </conditionalFormatting>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5E507-3B59-4C57-97D5-6961DAB5FFC8}">
  <sheetPr codeName="Sheet18">
    <tabColor theme="6" tint="0.79998168889431442"/>
  </sheetPr>
  <dimension ref="B2:O42"/>
  <sheetViews>
    <sheetView showGridLines="0" zoomScale="85" zoomScaleNormal="85" workbookViewId="0"/>
  </sheetViews>
  <sheetFormatPr defaultRowHeight="14" outlineLevelCol="1" x14ac:dyDescent="0.3"/>
  <cols>
    <col min="2" max="2" width="39.08203125" bestFit="1" customWidth="1"/>
    <col min="3" max="3" width="10.08203125" customWidth="1" outlineLevel="1"/>
    <col min="4" max="4" width="37.6640625" customWidth="1" outlineLevel="1"/>
    <col min="5" max="5" width="26.5" customWidth="1" outlineLevel="1"/>
    <col min="6" max="6" width="10.9140625" bestFit="1" customWidth="1"/>
    <col min="7" max="7" width="14.5" bestFit="1" customWidth="1"/>
    <col min="8" max="9" width="10.9140625" customWidth="1" outlineLevel="1"/>
    <col min="10" max="10" width="21.5" customWidth="1" outlineLevel="1"/>
    <col min="11" max="12" width="20.6640625" bestFit="1" customWidth="1"/>
    <col min="13" max="13" width="16.08203125" bestFit="1" customWidth="1"/>
  </cols>
  <sheetData>
    <row r="2" spans="2:15" ht="21.5" customHeight="1" x14ac:dyDescent="0.4">
      <c r="B2" s="150" t="s">
        <v>391</v>
      </c>
      <c r="C2" s="239"/>
      <c r="D2" s="239"/>
      <c r="E2" s="239"/>
      <c r="F2" s="239"/>
      <c r="G2" s="239"/>
      <c r="H2" s="239"/>
      <c r="I2" s="239"/>
      <c r="J2" s="239"/>
      <c r="K2" s="239"/>
      <c r="L2" s="239"/>
      <c r="M2" s="239"/>
    </row>
    <row r="4" spans="2:15" x14ac:dyDescent="0.3">
      <c r="B4" s="30" t="s">
        <v>392</v>
      </c>
      <c r="C4" s="12"/>
      <c r="D4" s="12"/>
      <c r="E4" s="12"/>
      <c r="F4" s="12"/>
      <c r="G4" s="12"/>
      <c r="H4" s="12"/>
      <c r="I4" s="12"/>
      <c r="J4" s="12"/>
      <c r="K4" s="12"/>
      <c r="L4" s="12"/>
      <c r="M4" s="12"/>
    </row>
    <row r="6" spans="2:15" x14ac:dyDescent="0.3">
      <c r="B6" s="34" t="s">
        <v>87</v>
      </c>
      <c r="C6" s="34" t="s">
        <v>14</v>
      </c>
      <c r="D6" s="34" t="s">
        <v>13</v>
      </c>
      <c r="E6" s="34" t="s">
        <v>314</v>
      </c>
      <c r="F6" s="34" t="s">
        <v>361</v>
      </c>
      <c r="G6" s="34" t="s">
        <v>42</v>
      </c>
      <c r="H6" s="34" t="s">
        <v>14</v>
      </c>
      <c r="I6" s="34" t="s">
        <v>13</v>
      </c>
      <c r="J6" s="34" t="s">
        <v>354</v>
      </c>
      <c r="K6" s="34" t="s">
        <v>362</v>
      </c>
      <c r="L6" s="34" t="s">
        <v>342</v>
      </c>
      <c r="M6" s="34" t="s">
        <v>317</v>
      </c>
      <c r="O6" s="34" t="s">
        <v>565</v>
      </c>
    </row>
    <row r="7" spans="2:15" x14ac:dyDescent="0.3">
      <c r="B7" t="s">
        <v>343</v>
      </c>
      <c r="C7" s="292" t="s">
        <v>346</v>
      </c>
      <c r="D7" t="s">
        <v>345</v>
      </c>
      <c r="E7" t="s">
        <v>344</v>
      </c>
      <c r="F7">
        <v>2.5</v>
      </c>
      <c r="G7" t="s">
        <v>341</v>
      </c>
      <c r="H7" t="s">
        <v>353</v>
      </c>
      <c r="I7" t="s">
        <v>211</v>
      </c>
      <c r="J7" t="s">
        <v>356</v>
      </c>
      <c r="K7" s="215">
        <v>118</v>
      </c>
      <c r="L7" s="215">
        <f t="shared" ref="L7:L13" si="0">K7*F7</f>
        <v>295</v>
      </c>
      <c r="M7" s="240">
        <f t="shared" ref="M7:M13" si="1">L7*7</f>
        <v>2065</v>
      </c>
      <c r="N7" s="52">
        <f>M7/$M$14</f>
        <v>0.12967032967032968</v>
      </c>
      <c r="O7" t="s">
        <v>564</v>
      </c>
    </row>
    <row r="8" spans="2:15" x14ac:dyDescent="0.3">
      <c r="B8" t="s">
        <v>88</v>
      </c>
      <c r="C8" t="s">
        <v>346</v>
      </c>
      <c r="D8" t="s">
        <v>345</v>
      </c>
      <c r="E8" t="s">
        <v>344</v>
      </c>
      <c r="F8">
        <v>2.5</v>
      </c>
      <c r="G8" t="s">
        <v>341</v>
      </c>
      <c r="H8" t="s">
        <v>353</v>
      </c>
      <c r="I8" t="s">
        <v>211</v>
      </c>
      <c r="J8" t="s">
        <v>355</v>
      </c>
      <c r="K8" s="215">
        <v>57</v>
      </c>
      <c r="L8" s="215">
        <f t="shared" si="0"/>
        <v>142.5</v>
      </c>
      <c r="M8" s="215">
        <f t="shared" si="1"/>
        <v>997.5</v>
      </c>
      <c r="N8" s="52">
        <f t="shared" ref="N8:N13" si="2">M8/$M$14</f>
        <v>6.2637362637362637E-2</v>
      </c>
      <c r="O8" t="s">
        <v>564</v>
      </c>
    </row>
    <row r="9" spans="2:15" x14ac:dyDescent="0.3">
      <c r="B9" t="s">
        <v>143</v>
      </c>
      <c r="C9" t="s">
        <v>346</v>
      </c>
      <c r="D9" t="s">
        <v>345</v>
      </c>
      <c r="E9" t="s">
        <v>344</v>
      </c>
      <c r="F9">
        <v>6</v>
      </c>
      <c r="G9" t="s">
        <v>350</v>
      </c>
      <c r="H9" t="s">
        <v>353</v>
      </c>
      <c r="I9" t="s">
        <v>211</v>
      </c>
      <c r="J9" t="s">
        <v>357</v>
      </c>
      <c r="K9" s="215">
        <v>108</v>
      </c>
      <c r="L9" s="215">
        <f t="shared" si="0"/>
        <v>648</v>
      </c>
      <c r="M9" s="240">
        <f t="shared" si="1"/>
        <v>4536</v>
      </c>
      <c r="N9" s="52">
        <f t="shared" si="2"/>
        <v>0.28483516483516486</v>
      </c>
      <c r="O9" t="s">
        <v>563</v>
      </c>
    </row>
    <row r="10" spans="2:15" x14ac:dyDescent="0.3">
      <c r="B10" t="s">
        <v>93</v>
      </c>
      <c r="C10" t="s">
        <v>346</v>
      </c>
      <c r="D10" t="s">
        <v>345</v>
      </c>
      <c r="E10" t="s">
        <v>344</v>
      </c>
      <c r="F10">
        <v>2</v>
      </c>
      <c r="G10" t="s">
        <v>341</v>
      </c>
      <c r="H10" t="s">
        <v>353</v>
      </c>
      <c r="I10" t="s">
        <v>211</v>
      </c>
      <c r="J10" t="s">
        <v>358</v>
      </c>
      <c r="K10" s="215">
        <v>103</v>
      </c>
      <c r="L10" s="215">
        <f t="shared" si="0"/>
        <v>206</v>
      </c>
      <c r="M10" s="215">
        <f t="shared" si="1"/>
        <v>1442</v>
      </c>
      <c r="N10" s="52">
        <f t="shared" si="2"/>
        <v>9.0549450549450544E-2</v>
      </c>
    </row>
    <row r="11" spans="2:15" x14ac:dyDescent="0.3">
      <c r="B11" t="s">
        <v>347</v>
      </c>
      <c r="C11" t="s">
        <v>346</v>
      </c>
      <c r="D11" t="s">
        <v>345</v>
      </c>
      <c r="E11" t="s">
        <v>344</v>
      </c>
      <c r="F11">
        <v>6.5</v>
      </c>
      <c r="G11" t="s">
        <v>350</v>
      </c>
      <c r="H11" t="s">
        <v>353</v>
      </c>
      <c r="I11" t="s">
        <v>211</v>
      </c>
      <c r="J11" t="s">
        <v>359</v>
      </c>
      <c r="K11" s="215">
        <v>77</v>
      </c>
      <c r="L11" s="215">
        <f t="shared" si="0"/>
        <v>500.5</v>
      </c>
      <c r="M11" s="240">
        <f t="shared" si="1"/>
        <v>3503.5</v>
      </c>
      <c r="N11" s="52">
        <f t="shared" si="2"/>
        <v>0.22</v>
      </c>
      <c r="O11" t="s">
        <v>563</v>
      </c>
    </row>
    <row r="12" spans="2:15" x14ac:dyDescent="0.3">
      <c r="B12" t="s">
        <v>348</v>
      </c>
      <c r="C12" t="s">
        <v>346</v>
      </c>
      <c r="D12" t="s">
        <v>345</v>
      </c>
      <c r="E12" t="s">
        <v>344</v>
      </c>
      <c r="F12">
        <v>27</v>
      </c>
      <c r="G12" t="s">
        <v>351</v>
      </c>
      <c r="H12" s="292" t="s">
        <v>353</v>
      </c>
      <c r="I12" t="s">
        <v>211</v>
      </c>
      <c r="J12" t="s">
        <v>360</v>
      </c>
      <c r="K12" s="215">
        <v>9</v>
      </c>
      <c r="L12" s="215">
        <f t="shared" si="0"/>
        <v>243</v>
      </c>
      <c r="M12" s="215">
        <f t="shared" si="1"/>
        <v>1701</v>
      </c>
      <c r="N12" s="52">
        <f t="shared" si="2"/>
        <v>0.10681318681318681</v>
      </c>
    </row>
    <row r="13" spans="2:15" x14ac:dyDescent="0.3">
      <c r="B13" t="s">
        <v>349</v>
      </c>
      <c r="C13" t="s">
        <v>346</v>
      </c>
      <c r="D13" t="s">
        <v>345</v>
      </c>
      <c r="E13" t="s">
        <v>344</v>
      </c>
      <c r="F13">
        <v>240</v>
      </c>
      <c r="G13" t="s">
        <v>352</v>
      </c>
      <c r="H13" t="s">
        <v>346</v>
      </c>
      <c r="I13" t="s">
        <v>345</v>
      </c>
      <c r="J13" t="s">
        <v>363</v>
      </c>
      <c r="K13" s="215">
        <v>1</v>
      </c>
      <c r="L13" s="215">
        <f t="shared" si="0"/>
        <v>240</v>
      </c>
      <c r="M13" s="215">
        <f t="shared" si="1"/>
        <v>1680</v>
      </c>
      <c r="N13" s="52">
        <f t="shared" si="2"/>
        <v>0.10549450549450549</v>
      </c>
    </row>
    <row r="14" spans="2:15" x14ac:dyDescent="0.3">
      <c r="K14" s="30" t="s">
        <v>72</v>
      </c>
      <c r="L14" s="238">
        <f>SUM(L7:L13)</f>
        <v>2275</v>
      </c>
      <c r="M14" s="238">
        <f>L14*7</f>
        <v>15925</v>
      </c>
    </row>
    <row r="16" spans="2:15" x14ac:dyDescent="0.3">
      <c r="B16" s="237" t="s">
        <v>364</v>
      </c>
      <c r="C16" s="139"/>
      <c r="D16" s="139"/>
      <c r="E16" s="139"/>
      <c r="F16" s="139"/>
      <c r="G16" s="139"/>
      <c r="H16" s="139"/>
      <c r="I16" s="139"/>
      <c r="J16" s="139"/>
      <c r="K16" s="139"/>
      <c r="L16" s="139"/>
      <c r="M16" s="139"/>
    </row>
    <row r="18" spans="2:13" x14ac:dyDescent="0.3">
      <c r="B18" s="34" t="s">
        <v>370</v>
      </c>
      <c r="C18" s="34" t="s">
        <v>14</v>
      </c>
      <c r="D18" s="34" t="s">
        <v>13</v>
      </c>
      <c r="E18" s="34" t="s">
        <v>314</v>
      </c>
      <c r="F18" s="34" t="s">
        <v>382</v>
      </c>
      <c r="G18" s="34" t="s">
        <v>42</v>
      </c>
      <c r="H18" s="34" t="s">
        <v>14</v>
      </c>
      <c r="I18" s="34" t="s">
        <v>13</v>
      </c>
      <c r="J18" s="34" t="s">
        <v>354</v>
      </c>
      <c r="K18" s="34" t="s">
        <v>362</v>
      </c>
      <c r="L18" s="34" t="s">
        <v>317</v>
      </c>
      <c r="M18" s="34"/>
    </row>
    <row r="19" spans="2:13" x14ac:dyDescent="0.3">
      <c r="B19" t="s">
        <v>365</v>
      </c>
      <c r="C19" t="s">
        <v>346</v>
      </c>
      <c r="D19" t="s">
        <v>345</v>
      </c>
      <c r="E19" t="s">
        <v>344</v>
      </c>
      <c r="F19">
        <v>1.5</v>
      </c>
      <c r="G19" t="s">
        <v>381</v>
      </c>
      <c r="H19" t="s">
        <v>353</v>
      </c>
      <c r="I19" t="s">
        <v>211</v>
      </c>
      <c r="J19" t="s">
        <v>380</v>
      </c>
      <c r="K19">
        <v>7</v>
      </c>
      <c r="L19">
        <f>K19*F19</f>
        <v>10.5</v>
      </c>
    </row>
    <row r="20" spans="2:13" x14ac:dyDescent="0.3">
      <c r="B20" t="s">
        <v>366</v>
      </c>
      <c r="C20" t="s">
        <v>346</v>
      </c>
      <c r="D20" t="s">
        <v>345</v>
      </c>
      <c r="E20" t="s">
        <v>344</v>
      </c>
      <c r="F20">
        <v>5.5</v>
      </c>
      <c r="G20" t="s">
        <v>381</v>
      </c>
      <c r="H20" t="s">
        <v>353</v>
      </c>
      <c r="I20" t="s">
        <v>211</v>
      </c>
      <c r="J20" t="s">
        <v>383</v>
      </c>
      <c r="K20">
        <v>45</v>
      </c>
      <c r="L20">
        <f>K20*F20</f>
        <v>247.5</v>
      </c>
    </row>
    <row r="21" spans="2:13" x14ac:dyDescent="0.3">
      <c r="B21" t="s">
        <v>367</v>
      </c>
      <c r="C21" t="s">
        <v>346</v>
      </c>
      <c r="D21" t="s">
        <v>345</v>
      </c>
      <c r="E21" t="s">
        <v>344</v>
      </c>
      <c r="F21">
        <v>1.5</v>
      </c>
      <c r="G21" t="s">
        <v>381</v>
      </c>
      <c r="H21" t="s">
        <v>353</v>
      </c>
      <c r="I21" t="s">
        <v>211</v>
      </c>
      <c r="J21" t="s">
        <v>384</v>
      </c>
      <c r="K21">
        <v>118</v>
      </c>
      <c r="L21">
        <f>K21*F21</f>
        <v>177</v>
      </c>
    </row>
    <row r="22" spans="2:13" x14ac:dyDescent="0.3">
      <c r="B22" t="s">
        <v>368</v>
      </c>
      <c r="C22" t="s">
        <v>346</v>
      </c>
      <c r="D22" t="s">
        <v>345</v>
      </c>
      <c r="E22" t="s">
        <v>344</v>
      </c>
      <c r="F22">
        <v>5</v>
      </c>
      <c r="G22" t="s">
        <v>381</v>
      </c>
      <c r="H22" t="s">
        <v>353</v>
      </c>
      <c r="I22" t="s">
        <v>211</v>
      </c>
      <c r="J22" t="s">
        <v>385</v>
      </c>
      <c r="K22">
        <v>116</v>
      </c>
      <c r="L22">
        <f>K22*F22</f>
        <v>580</v>
      </c>
    </row>
    <row r="23" spans="2:13" x14ac:dyDescent="0.3">
      <c r="B23" t="s">
        <v>369</v>
      </c>
      <c r="C23" t="s">
        <v>346</v>
      </c>
      <c r="D23" t="s">
        <v>345</v>
      </c>
      <c r="E23" t="s">
        <v>344</v>
      </c>
      <c r="F23">
        <v>4</v>
      </c>
      <c r="G23" t="s">
        <v>381</v>
      </c>
      <c r="H23" t="s">
        <v>353</v>
      </c>
      <c r="I23" t="s">
        <v>211</v>
      </c>
      <c r="J23" t="s">
        <v>356</v>
      </c>
      <c r="K23">
        <v>118</v>
      </c>
      <c r="L23">
        <f>K23*F23</f>
        <v>472</v>
      </c>
    </row>
    <row r="24" spans="2:13" hidden="1" x14ac:dyDescent="0.3">
      <c r="K24" s="30" t="s">
        <v>72</v>
      </c>
      <c r="L24" s="30">
        <f>SUM(L19:L23)</f>
        <v>1487</v>
      </c>
    </row>
    <row r="25" spans="2:13" hidden="1" x14ac:dyDescent="0.3">
      <c r="K25" s="30" t="s">
        <v>388</v>
      </c>
      <c r="L25" s="30">
        <f>ABS(M7-L24)</f>
        <v>578</v>
      </c>
    </row>
    <row r="27" spans="2:13" x14ac:dyDescent="0.3">
      <c r="B27" s="69" t="s">
        <v>371</v>
      </c>
      <c r="C27" s="70"/>
      <c r="D27" s="70"/>
      <c r="E27" s="70"/>
      <c r="F27" s="70"/>
      <c r="G27" s="70"/>
      <c r="H27" s="70"/>
      <c r="I27" s="70"/>
      <c r="J27" s="70"/>
      <c r="K27" s="70"/>
      <c r="L27" s="70"/>
      <c r="M27" s="70"/>
    </row>
    <row r="29" spans="2:13" x14ac:dyDescent="0.3">
      <c r="B29" s="34" t="s">
        <v>372</v>
      </c>
      <c r="C29" s="34" t="s">
        <v>14</v>
      </c>
      <c r="D29" s="34" t="s">
        <v>13</v>
      </c>
      <c r="E29" s="34" t="s">
        <v>314</v>
      </c>
      <c r="F29" s="34" t="s">
        <v>361</v>
      </c>
      <c r="G29" s="34" t="s">
        <v>42</v>
      </c>
      <c r="H29" s="34" t="s">
        <v>14</v>
      </c>
      <c r="I29" s="34" t="s">
        <v>13</v>
      </c>
      <c r="J29" s="34" t="s">
        <v>354</v>
      </c>
      <c r="K29" s="34" t="s">
        <v>362</v>
      </c>
      <c r="L29" s="34" t="s">
        <v>342</v>
      </c>
      <c r="M29" s="34" t="s">
        <v>317</v>
      </c>
    </row>
    <row r="30" spans="2:13" x14ac:dyDescent="0.3">
      <c r="B30" t="s">
        <v>136</v>
      </c>
      <c r="C30" t="s">
        <v>346</v>
      </c>
      <c r="D30" t="s">
        <v>345</v>
      </c>
      <c r="E30" t="s">
        <v>344</v>
      </c>
      <c r="F30">
        <v>3</v>
      </c>
      <c r="G30" t="s">
        <v>350</v>
      </c>
      <c r="H30" t="s">
        <v>353</v>
      </c>
      <c r="I30" t="s">
        <v>211</v>
      </c>
      <c r="J30" t="s">
        <v>386</v>
      </c>
      <c r="K30">
        <v>75</v>
      </c>
      <c r="L30">
        <f>K30*F30</f>
        <v>225</v>
      </c>
      <c r="M30">
        <f>L30*7</f>
        <v>1575</v>
      </c>
    </row>
    <row r="31" spans="2:13" x14ac:dyDescent="0.3">
      <c r="B31" t="s">
        <v>373</v>
      </c>
      <c r="C31" t="s">
        <v>346</v>
      </c>
      <c r="D31" t="s">
        <v>345</v>
      </c>
      <c r="E31" t="s">
        <v>344</v>
      </c>
      <c r="F31">
        <v>3</v>
      </c>
      <c r="G31" t="s">
        <v>350</v>
      </c>
      <c r="H31" t="s">
        <v>353</v>
      </c>
      <c r="I31" t="s">
        <v>211</v>
      </c>
      <c r="J31" t="s">
        <v>387</v>
      </c>
      <c r="K31">
        <v>92</v>
      </c>
      <c r="L31">
        <f>K31*F31</f>
        <v>276</v>
      </c>
      <c r="M31">
        <f>L31*7</f>
        <v>1932</v>
      </c>
    </row>
    <row r="32" spans="2:13" hidden="1" x14ac:dyDescent="0.3">
      <c r="L32" s="30" t="s">
        <v>72</v>
      </c>
      <c r="M32" s="30">
        <f>SUM(M30:M31)</f>
        <v>3507</v>
      </c>
    </row>
    <row r="33" spans="2:13" hidden="1" x14ac:dyDescent="0.3">
      <c r="L33" s="30" t="s">
        <v>388</v>
      </c>
      <c r="M33" s="30">
        <f>ABS(M32-M9)</f>
        <v>1029</v>
      </c>
    </row>
    <row r="35" spans="2:13" x14ac:dyDescent="0.3">
      <c r="B35" s="220" t="s">
        <v>374</v>
      </c>
      <c r="C35" s="61"/>
      <c r="D35" s="61"/>
      <c r="E35" s="61"/>
      <c r="F35" s="61"/>
      <c r="G35" s="61"/>
      <c r="H35" s="61"/>
      <c r="I35" s="61"/>
      <c r="J35" s="61"/>
      <c r="K35" s="61"/>
      <c r="L35" s="61"/>
      <c r="M35" s="61"/>
    </row>
    <row r="37" spans="2:13" x14ac:dyDescent="0.3">
      <c r="B37" s="34" t="s">
        <v>375</v>
      </c>
      <c r="C37" s="34" t="s">
        <v>14</v>
      </c>
      <c r="D37" s="34" t="s">
        <v>13</v>
      </c>
      <c r="E37" s="34" t="s">
        <v>314</v>
      </c>
      <c r="F37" s="34" t="s">
        <v>382</v>
      </c>
      <c r="G37" s="34" t="s">
        <v>42</v>
      </c>
      <c r="H37" s="34" t="s">
        <v>14</v>
      </c>
      <c r="I37" s="34" t="s">
        <v>13</v>
      </c>
      <c r="J37" s="34" t="s">
        <v>354</v>
      </c>
      <c r="K37" s="34" t="s">
        <v>362</v>
      </c>
      <c r="L37" s="34" t="s">
        <v>317</v>
      </c>
      <c r="M37" s="34"/>
    </row>
    <row r="38" spans="2:13" x14ac:dyDescent="0.3">
      <c r="B38" t="s">
        <v>376</v>
      </c>
      <c r="C38" t="s">
        <v>346</v>
      </c>
      <c r="D38" t="s">
        <v>345</v>
      </c>
      <c r="E38" t="s">
        <v>344</v>
      </c>
      <c r="F38">
        <v>26</v>
      </c>
      <c r="G38" t="s">
        <v>379</v>
      </c>
      <c r="H38" t="s">
        <v>353</v>
      </c>
      <c r="I38" t="s">
        <v>211</v>
      </c>
      <c r="J38" t="s">
        <v>408</v>
      </c>
      <c r="K38">
        <v>71</v>
      </c>
      <c r="L38">
        <f>K38*F38</f>
        <v>1846</v>
      </c>
    </row>
    <row r="39" spans="2:13" x14ac:dyDescent="0.3">
      <c r="B39" t="s">
        <v>377</v>
      </c>
      <c r="C39" t="s">
        <v>346</v>
      </c>
      <c r="D39" t="s">
        <v>345</v>
      </c>
      <c r="E39" t="s">
        <v>344</v>
      </c>
      <c r="F39">
        <v>15</v>
      </c>
      <c r="G39" t="s">
        <v>379</v>
      </c>
      <c r="H39" s="292" t="s">
        <v>353</v>
      </c>
      <c r="I39" t="s">
        <v>211</v>
      </c>
      <c r="J39" t="s">
        <v>389</v>
      </c>
      <c r="K39">
        <v>58</v>
      </c>
      <c r="L39">
        <f>K39*F39</f>
        <v>870</v>
      </c>
    </row>
    <row r="40" spans="2:13" x14ac:dyDescent="0.3">
      <c r="B40" t="s">
        <v>378</v>
      </c>
      <c r="C40" t="s">
        <v>346</v>
      </c>
      <c r="D40" t="s">
        <v>345</v>
      </c>
      <c r="E40" t="s">
        <v>344</v>
      </c>
      <c r="F40">
        <v>5</v>
      </c>
      <c r="G40" t="s">
        <v>379</v>
      </c>
      <c r="H40" t="s">
        <v>353</v>
      </c>
      <c r="I40" t="s">
        <v>211</v>
      </c>
      <c r="J40" t="s">
        <v>390</v>
      </c>
      <c r="K40">
        <v>172</v>
      </c>
      <c r="L40">
        <f>K40*F40</f>
        <v>860</v>
      </c>
    </row>
    <row r="41" spans="2:13" hidden="1" x14ac:dyDescent="0.3">
      <c r="K41" s="12" t="s">
        <v>72</v>
      </c>
      <c r="L41" s="12">
        <f>SUM(L38:L40)</f>
        <v>3576</v>
      </c>
    </row>
    <row r="42" spans="2:13" hidden="1" x14ac:dyDescent="0.3">
      <c r="K42" s="12" t="s">
        <v>388</v>
      </c>
      <c r="L42" s="12">
        <f>ABS(L41-M11)</f>
        <v>72.5</v>
      </c>
    </row>
  </sheetData>
  <hyperlinks>
    <hyperlink ref="C7" r:id="rId1" xr:uid="{D05E6E84-9CEC-4CB3-A304-89C575FE5CFC}"/>
    <hyperlink ref="H12" r:id="rId2" xr:uid="{AF9EF0DA-A259-483E-9CEA-16B3F908DA7D}"/>
    <hyperlink ref="H39" r:id="rId3" xr:uid="{C144D1EB-A11D-43AA-8BDB-65D35B5DC88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31AFC-D767-4103-A6D2-6C843EF0AC46}">
  <sheetPr codeName="Sheet19">
    <tabColor theme="6" tint="0.79998168889431442"/>
  </sheetPr>
  <dimension ref="B2:E44"/>
  <sheetViews>
    <sheetView showGridLines="0" zoomScale="106" zoomScaleNormal="70" workbookViewId="0"/>
  </sheetViews>
  <sheetFormatPr defaultRowHeight="14" x14ac:dyDescent="0.3"/>
  <cols>
    <col min="2" max="2" width="38.1640625" bestFit="1" customWidth="1"/>
    <col min="3" max="3" width="10.6640625" bestFit="1" customWidth="1"/>
    <col min="4" max="4" width="15.83203125" bestFit="1" customWidth="1"/>
    <col min="5" max="5" width="9.58203125" customWidth="1"/>
  </cols>
  <sheetData>
    <row r="2" spans="2:5" s="3" customFormat="1" x14ac:dyDescent="0.3">
      <c r="B2" s="25" t="s">
        <v>137</v>
      </c>
      <c r="C2" s="26"/>
      <c r="D2" s="26"/>
      <c r="E2" s="26"/>
    </row>
    <row r="3" spans="2:5" s="3" customFormat="1" x14ac:dyDescent="0.3"/>
    <row r="4" spans="2:5" s="3" customFormat="1" x14ac:dyDescent="0.3">
      <c r="B4" s="30" t="s">
        <v>68</v>
      </c>
      <c r="C4" s="30" t="s">
        <v>69</v>
      </c>
      <c r="D4" s="30" t="s">
        <v>42</v>
      </c>
      <c r="E4" s="30" t="s">
        <v>13</v>
      </c>
    </row>
    <row r="5" spans="2:5" s="3" customFormat="1" x14ac:dyDescent="0.3">
      <c r="B5"/>
      <c r="C5"/>
      <c r="D5"/>
      <c r="E5"/>
    </row>
    <row r="6" spans="2:5" s="3" customFormat="1" x14ac:dyDescent="0.3">
      <c r="B6" s="30" t="s">
        <v>561</v>
      </c>
      <c r="C6" s="30"/>
      <c r="D6" s="30"/>
      <c r="E6" s="30"/>
    </row>
    <row r="7" spans="2:5" s="3" customFormat="1" x14ac:dyDescent="0.3">
      <c r="B7" s="3" t="s">
        <v>76</v>
      </c>
      <c r="C7" s="3">
        <v>6.8</v>
      </c>
      <c r="D7" s="3" t="s">
        <v>61</v>
      </c>
      <c r="E7" s="62" t="s">
        <v>62</v>
      </c>
    </row>
    <row r="8" spans="2:5" s="3" customFormat="1" x14ac:dyDescent="0.3">
      <c r="E8" s="62"/>
    </row>
    <row r="9" spans="2:5" s="3" customFormat="1" x14ac:dyDescent="0.3">
      <c r="B9" s="30" t="s">
        <v>562</v>
      </c>
      <c r="C9" s="30"/>
      <c r="D9" s="30"/>
      <c r="E9" s="30"/>
    </row>
    <row r="10" spans="2:5" s="3" customFormat="1" x14ac:dyDescent="0.3">
      <c r="B10" s="3" t="s">
        <v>154</v>
      </c>
      <c r="C10" s="3">
        <v>0.06</v>
      </c>
      <c r="D10" s="3" t="s">
        <v>59</v>
      </c>
      <c r="E10" s="62" t="s">
        <v>60</v>
      </c>
    </row>
    <row r="11" spans="2:5" s="3" customFormat="1" x14ac:dyDescent="0.3">
      <c r="E11" s="62"/>
    </row>
    <row r="12" spans="2:5" s="3" customFormat="1" x14ac:dyDescent="0.3">
      <c r="B12" s="3" t="s">
        <v>155</v>
      </c>
      <c r="C12" s="3">
        <f>SUM(C13:C15)/1000</f>
        <v>3.61E-2</v>
      </c>
      <c r="D12" s="3" t="s">
        <v>156</v>
      </c>
      <c r="E12" s="62" t="s">
        <v>60</v>
      </c>
    </row>
    <row r="13" spans="2:5" s="3" customFormat="1" x14ac:dyDescent="0.3">
      <c r="B13" s="120" t="s">
        <v>157</v>
      </c>
      <c r="C13" s="3">
        <v>5.5</v>
      </c>
      <c r="D13" s="3" t="s">
        <v>158</v>
      </c>
      <c r="E13" s="62"/>
    </row>
    <row r="14" spans="2:5" s="3" customFormat="1" x14ac:dyDescent="0.3">
      <c r="B14" s="120" t="s">
        <v>159</v>
      </c>
      <c r="C14" s="3">
        <v>25</v>
      </c>
      <c r="D14" s="3" t="s">
        <v>158</v>
      </c>
      <c r="E14" s="62"/>
    </row>
    <row r="15" spans="2:5" s="3" customFormat="1" x14ac:dyDescent="0.3">
      <c r="B15" s="120" t="s">
        <v>160</v>
      </c>
      <c r="C15" s="3">
        <v>5.6</v>
      </c>
      <c r="D15" s="3" t="s">
        <v>158</v>
      </c>
      <c r="E15" s="62"/>
    </row>
    <row r="16" spans="2:5" s="3" customFormat="1" x14ac:dyDescent="0.3">
      <c r="B16" s="121" t="s">
        <v>161</v>
      </c>
      <c r="C16" s="3">
        <f>SUM(C17:C19)*C25/1000000000</f>
        <v>2.4359999999999999</v>
      </c>
      <c r="E16" s="62"/>
    </row>
    <row r="17" spans="2:5" s="3" customFormat="1" x14ac:dyDescent="0.3">
      <c r="B17" s="120" t="s">
        <v>695</v>
      </c>
      <c r="C17" s="122">
        <v>30000</v>
      </c>
      <c r="D17" s="3" t="s">
        <v>162</v>
      </c>
      <c r="E17" s="62"/>
    </row>
    <row r="18" spans="2:5" s="3" customFormat="1" x14ac:dyDescent="0.3">
      <c r="B18" s="120" t="s">
        <v>163</v>
      </c>
      <c r="C18" s="122">
        <v>15000</v>
      </c>
      <c r="E18" s="62"/>
    </row>
    <row r="19" spans="2:5" s="3" customFormat="1" x14ac:dyDescent="0.3">
      <c r="B19" s="120" t="s">
        <v>164</v>
      </c>
      <c r="C19" s="122">
        <v>100000</v>
      </c>
      <c r="E19" s="62"/>
    </row>
    <row r="20" spans="2:5" s="3" customFormat="1" x14ac:dyDescent="0.3">
      <c r="B20" s="120" t="s">
        <v>165</v>
      </c>
      <c r="C20" s="122">
        <f>C16-C28-C30</f>
        <v>1.0399</v>
      </c>
      <c r="E20" s="62"/>
    </row>
    <row r="21" spans="2:5" s="3" customFormat="1" x14ac:dyDescent="0.3">
      <c r="B21" s="120"/>
      <c r="C21" s="122"/>
      <c r="E21" s="62"/>
    </row>
    <row r="22" spans="2:5" s="3" customFormat="1" x14ac:dyDescent="0.3">
      <c r="B22" s="93" t="s">
        <v>70</v>
      </c>
      <c r="C22" s="93">
        <v>4.9000000000000004</v>
      </c>
      <c r="D22" s="93" t="s">
        <v>66</v>
      </c>
      <c r="E22" s="62"/>
    </row>
    <row r="23" spans="2:5" s="3" customFormat="1" x14ac:dyDescent="0.3">
      <c r="B23" s="93" t="s">
        <v>71</v>
      </c>
      <c r="C23" s="93">
        <v>2.4500000000000002</v>
      </c>
      <c r="D23" s="93" t="s">
        <v>66</v>
      </c>
    </row>
    <row r="24" spans="2:5" s="3" customFormat="1" x14ac:dyDescent="0.3">
      <c r="B24" s="93" t="s">
        <v>166</v>
      </c>
      <c r="C24" s="93">
        <f>SUM(C22:C23)</f>
        <v>7.3500000000000005</v>
      </c>
      <c r="D24" s="93" t="s">
        <v>66</v>
      </c>
    </row>
    <row r="25" spans="2:5" s="3" customFormat="1" x14ac:dyDescent="0.3">
      <c r="B25" s="3" t="s">
        <v>167</v>
      </c>
      <c r="C25" s="122">
        <v>16800</v>
      </c>
      <c r="E25" s="62" t="s">
        <v>168</v>
      </c>
    </row>
    <row r="26" spans="2:5" s="3" customFormat="1" x14ac:dyDescent="0.3">
      <c r="C26" s="122"/>
    </row>
    <row r="27" spans="2:5" s="3" customFormat="1" x14ac:dyDescent="0.3">
      <c r="B27" s="30" t="s">
        <v>68</v>
      </c>
      <c r="C27" s="30" t="s">
        <v>548</v>
      </c>
      <c r="D27" s="30" t="s">
        <v>42</v>
      </c>
      <c r="E27" s="4" t="s">
        <v>549</v>
      </c>
    </row>
    <row r="28" spans="2:5" s="3" customFormat="1" x14ac:dyDescent="0.3">
      <c r="B28" s="3" t="s">
        <v>108</v>
      </c>
      <c r="C28" s="3">
        <f>C7/5</f>
        <v>1.3599999999999999</v>
      </c>
      <c r="D28" s="3" t="s">
        <v>109</v>
      </c>
      <c r="E28" s="3" t="s">
        <v>547</v>
      </c>
    </row>
    <row r="29" spans="2:5" s="3" customFormat="1" x14ac:dyDescent="0.3">
      <c r="B29" s="3" t="s">
        <v>169</v>
      </c>
      <c r="C29" s="23">
        <f>C44</f>
        <v>1.0888919999999997</v>
      </c>
      <c r="D29" s="3" t="s">
        <v>109</v>
      </c>
      <c r="E29" s="3" t="s">
        <v>110</v>
      </c>
    </row>
    <row r="30" spans="2:5" s="3" customFormat="1" x14ac:dyDescent="0.3">
      <c r="B30" s="3" t="s">
        <v>170</v>
      </c>
      <c r="C30" s="3">
        <f>C12</f>
        <v>3.61E-2</v>
      </c>
      <c r="D30" s="3" t="s">
        <v>109</v>
      </c>
      <c r="E30" s="3" t="s">
        <v>171</v>
      </c>
    </row>
    <row r="31" spans="2:5" s="3" customFormat="1" x14ac:dyDescent="0.3">
      <c r="B31" s="3" t="s">
        <v>172</v>
      </c>
      <c r="C31" s="123">
        <f>C20</f>
        <v>1.0399</v>
      </c>
      <c r="D31" s="3" t="s">
        <v>109</v>
      </c>
      <c r="E31" s="3" t="s">
        <v>173</v>
      </c>
    </row>
    <row r="32" spans="2:5" s="3" customFormat="1" x14ac:dyDescent="0.3">
      <c r="B32" s="69" t="s">
        <v>111</v>
      </c>
      <c r="C32" s="434">
        <f>C28+$C$29+C30+C31</f>
        <v>3.5248919999999995</v>
      </c>
      <c r="D32" s="69" t="s">
        <v>67</v>
      </c>
    </row>
    <row r="33" spans="2:4" s="3" customFormat="1" x14ac:dyDescent="0.3"/>
    <row r="37" spans="2:4" x14ac:dyDescent="0.3">
      <c r="B37" t="s">
        <v>83</v>
      </c>
    </row>
    <row r="38" spans="2:4" x14ac:dyDescent="0.3">
      <c r="B38" t="s">
        <v>174</v>
      </c>
      <c r="C38" s="124">
        <v>0.44700000000000001</v>
      </c>
      <c r="D38" s="125"/>
    </row>
    <row r="39" spans="2:4" x14ac:dyDescent="0.3">
      <c r="B39" t="s">
        <v>175</v>
      </c>
      <c r="C39" s="124">
        <v>0.44500000000000001</v>
      </c>
    </row>
    <row r="40" spans="2:4" x14ac:dyDescent="0.3">
      <c r="B40" t="s">
        <v>176</v>
      </c>
      <c r="C40" s="124">
        <v>9.5000000000000001E-2</v>
      </c>
    </row>
    <row r="41" spans="2:4" x14ac:dyDescent="0.3">
      <c r="B41" t="s">
        <v>177</v>
      </c>
      <c r="C41" s="124">
        <v>1.2999999999999999E-2</v>
      </c>
    </row>
    <row r="42" spans="2:4" x14ac:dyDescent="0.3">
      <c r="D42" s="125"/>
    </row>
    <row r="43" spans="2:4" x14ac:dyDescent="0.3">
      <c r="B43" t="s">
        <v>178</v>
      </c>
      <c r="C43" s="126">
        <f>C31+C30+C28</f>
        <v>2.4359999999999999</v>
      </c>
    </row>
    <row r="44" spans="2:4" x14ac:dyDescent="0.3">
      <c r="B44" t="s">
        <v>174</v>
      </c>
      <c r="C44">
        <f>(1-SUM(C39:C41))*C43</f>
        <v>1.0888919999999997</v>
      </c>
    </row>
  </sheetData>
  <hyperlinks>
    <hyperlink ref="E10" r:id="rId1" xr:uid="{B058D7F5-DD86-4F6C-880D-4B9DD8183535}"/>
    <hyperlink ref="E7" r:id="rId2" xr:uid="{04048903-269B-4447-A678-5C1C72493A98}"/>
    <hyperlink ref="E25" r:id="rId3" location=":~:text=In%20the%20U.S.%2C%20school%20districts,home%20to%2016%2C800%20school%20districts." xr:uid="{0DFA7E86-BD80-4EF4-933F-CE5956770654}"/>
    <hyperlink ref="E12" r:id="rId4" xr:uid="{8A438589-CAD6-486B-B18B-2D93F7FC149C}"/>
  </hyperlinks>
  <pageMargins left="0.7" right="0.7" top="0.75" bottom="0.75" header="0.3" footer="0.3"/>
  <pageSetup orientation="portrait"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14F23-0400-43D8-928F-8B20DAA8C392}">
  <sheetPr codeName="Sheet20">
    <tabColor theme="9" tint="-9.9978637043366805E-2"/>
  </sheetPr>
  <dimension ref="B2:I23"/>
  <sheetViews>
    <sheetView showGridLines="0" zoomScaleNormal="100" workbookViewId="0"/>
  </sheetViews>
  <sheetFormatPr defaultColWidth="8.6640625" defaultRowHeight="14" x14ac:dyDescent="0.3"/>
  <cols>
    <col min="1" max="1" width="8.6640625" style="3"/>
    <col min="2" max="2" width="26.4140625" style="3" customWidth="1"/>
    <col min="3" max="3" width="32" style="3" bestFit="1" customWidth="1"/>
    <col min="4" max="4" width="17.33203125" style="3" bestFit="1" customWidth="1"/>
    <col min="5" max="5" width="16" style="3" bestFit="1" customWidth="1"/>
    <col min="6" max="6" width="13.5" style="3" bestFit="1" customWidth="1"/>
    <col min="7" max="7" width="25.4140625" style="3" customWidth="1"/>
    <col min="8" max="8" width="51.58203125" style="3" bestFit="1" customWidth="1"/>
    <col min="9" max="9" width="12.5" style="3" customWidth="1"/>
    <col min="10" max="10" width="81.08203125" style="3" bestFit="1" customWidth="1"/>
    <col min="11" max="16384" width="8.6640625" style="3"/>
  </cols>
  <sheetData>
    <row r="2" spans="2:9" x14ac:dyDescent="0.3">
      <c r="B2" s="1" t="s">
        <v>637</v>
      </c>
      <c r="C2" s="1"/>
      <c r="D2" s="2"/>
      <c r="E2" s="2"/>
      <c r="F2" s="2"/>
      <c r="G2" s="2"/>
      <c r="H2" s="2"/>
    </row>
    <row r="4" spans="2:9" x14ac:dyDescent="0.3">
      <c r="B4" s="132" t="s">
        <v>718</v>
      </c>
      <c r="C4" s="133">
        <f>G23</f>
        <v>1.2831172808350826</v>
      </c>
      <c r="D4" s="351"/>
    </row>
    <row r="5" spans="2:9" x14ac:dyDescent="0.3">
      <c r="C5" s="67"/>
    </row>
    <row r="6" spans="2:9" x14ac:dyDescent="0.3">
      <c r="B6" s="25" t="s">
        <v>36</v>
      </c>
      <c r="C6" s="57"/>
      <c r="D6" s="26"/>
      <c r="E6" s="25"/>
      <c r="F6" s="25"/>
      <c r="G6" s="26"/>
      <c r="H6" s="26"/>
    </row>
    <row r="7" spans="2:9" x14ac:dyDescent="0.3">
      <c r="B7" s="33"/>
      <c r="C7" s="33"/>
      <c r="E7" s="15"/>
      <c r="F7" s="15"/>
    </row>
    <row r="8" spans="2:9" x14ac:dyDescent="0.3">
      <c r="B8" s="32" t="s">
        <v>616</v>
      </c>
      <c r="C8" s="32" t="s">
        <v>63</v>
      </c>
      <c r="D8" s="31" t="s">
        <v>617</v>
      </c>
      <c r="E8" s="60" t="s">
        <v>618</v>
      </c>
      <c r="F8" s="60" t="s">
        <v>42</v>
      </c>
      <c r="G8" s="31" t="s">
        <v>13</v>
      </c>
      <c r="H8" s="31" t="s">
        <v>14</v>
      </c>
    </row>
    <row r="9" spans="2:9" x14ac:dyDescent="0.3">
      <c r="B9" s="19" t="s">
        <v>3</v>
      </c>
      <c r="C9" s="5" t="s">
        <v>613</v>
      </c>
      <c r="D9" s="24" t="s">
        <v>603</v>
      </c>
      <c r="E9" s="118">
        <v>19552</v>
      </c>
      <c r="F9" s="24" t="s">
        <v>605</v>
      </c>
      <c r="G9" s="146" t="s">
        <v>612</v>
      </c>
      <c r="H9" s="99" t="s">
        <v>606</v>
      </c>
      <c r="I9" s="27"/>
    </row>
    <row r="10" spans="2:9" x14ac:dyDescent="0.3">
      <c r="B10" s="19" t="s">
        <v>3</v>
      </c>
      <c r="C10" s="5" t="s">
        <v>613</v>
      </c>
      <c r="D10" s="24" t="s">
        <v>604</v>
      </c>
      <c r="E10" s="339">
        <v>971432140</v>
      </c>
      <c r="F10" s="24" t="s">
        <v>56</v>
      </c>
      <c r="G10" s="146" t="s">
        <v>612</v>
      </c>
      <c r="H10" s="3" t="s">
        <v>606</v>
      </c>
      <c r="I10" s="27"/>
    </row>
    <row r="11" spans="2:9" x14ac:dyDescent="0.3">
      <c r="B11" s="19" t="s">
        <v>12</v>
      </c>
      <c r="C11" s="5" t="s">
        <v>614</v>
      </c>
      <c r="D11" s="24" t="s">
        <v>608</v>
      </c>
      <c r="E11" s="118">
        <v>2980000000</v>
      </c>
      <c r="F11" s="24" t="s">
        <v>607</v>
      </c>
      <c r="G11" s="146" t="s">
        <v>612</v>
      </c>
      <c r="H11" s="3" t="s">
        <v>606</v>
      </c>
    </row>
    <row r="12" spans="2:9" x14ac:dyDescent="0.3">
      <c r="B12" s="19" t="s">
        <v>12</v>
      </c>
      <c r="C12" s="5" t="s">
        <v>614</v>
      </c>
      <c r="D12" s="24" t="s">
        <v>610</v>
      </c>
      <c r="E12" s="118">
        <v>14100</v>
      </c>
      <c r="F12" s="24" t="s">
        <v>609</v>
      </c>
      <c r="G12" s="146" t="s">
        <v>612</v>
      </c>
      <c r="H12" s="3" t="s">
        <v>606</v>
      </c>
    </row>
    <row r="13" spans="2:9" x14ac:dyDescent="0.3">
      <c r="B13" s="19" t="s">
        <v>12</v>
      </c>
      <c r="C13" s="5" t="s">
        <v>615</v>
      </c>
      <c r="D13" s="24" t="s">
        <v>636</v>
      </c>
      <c r="E13" s="118">
        <v>567000</v>
      </c>
      <c r="F13" s="24" t="s">
        <v>607</v>
      </c>
      <c r="G13" s="146" t="s">
        <v>612</v>
      </c>
      <c r="H13" s="3" t="s">
        <v>606</v>
      </c>
    </row>
    <row r="14" spans="2:9" x14ac:dyDescent="0.3">
      <c r="B14" s="19" t="s">
        <v>12</v>
      </c>
      <c r="C14" s="5" t="s">
        <v>615</v>
      </c>
      <c r="D14" s="24" t="s">
        <v>636</v>
      </c>
      <c r="E14" s="118">
        <v>47600</v>
      </c>
      <c r="F14" s="24" t="s">
        <v>611</v>
      </c>
      <c r="G14" s="146" t="s">
        <v>612</v>
      </c>
      <c r="H14" s="3" t="s">
        <v>606</v>
      </c>
    </row>
    <row r="17" spans="2:8" x14ac:dyDescent="0.3">
      <c r="B17" s="347" t="s">
        <v>684</v>
      </c>
      <c r="C17" s="347"/>
      <c r="D17" s="347"/>
      <c r="E17" s="347"/>
      <c r="F17" s="347"/>
      <c r="G17" s="347"/>
      <c r="H17" s="347"/>
    </row>
    <row r="18" spans="2:8" x14ac:dyDescent="0.3">
      <c r="B18" s="5"/>
      <c r="C18" s="5"/>
      <c r="D18" s="5"/>
      <c r="E18" s="5"/>
      <c r="F18" s="5"/>
      <c r="G18" s="5"/>
      <c r="H18" s="5"/>
    </row>
    <row r="19" spans="2:8" x14ac:dyDescent="0.3">
      <c r="B19" s="30" t="s">
        <v>616</v>
      </c>
      <c r="C19" s="30" t="s">
        <v>63</v>
      </c>
      <c r="D19" s="30" t="s">
        <v>7</v>
      </c>
      <c r="E19" s="30" t="s">
        <v>618</v>
      </c>
      <c r="F19" s="30" t="s">
        <v>42</v>
      </c>
      <c r="G19" s="30" t="s">
        <v>706</v>
      </c>
      <c r="H19"/>
    </row>
    <row r="20" spans="2:8" x14ac:dyDescent="0.3">
      <c r="B20" s="5" t="s">
        <v>3</v>
      </c>
      <c r="C20" s="5" t="s">
        <v>635</v>
      </c>
      <c r="D20" s="5" t="s">
        <v>705</v>
      </c>
      <c r="E20" s="339">
        <v>971432140</v>
      </c>
      <c r="F20" s="5" t="s">
        <v>56</v>
      </c>
      <c r="G20" s="352">
        <f>'L3Procurement Benefits'!G16/10^9</f>
        <v>0.97143214</v>
      </c>
      <c r="H20" s="5"/>
    </row>
    <row r="21" spans="2:8" x14ac:dyDescent="0.3">
      <c r="B21" s="5" t="s">
        <v>12</v>
      </c>
      <c r="C21" s="5" t="s">
        <v>614</v>
      </c>
      <c r="D21" s="5" t="s">
        <v>17</v>
      </c>
      <c r="E21" s="309">
        <v>2980000000</v>
      </c>
      <c r="F21" s="5" t="s">
        <v>607</v>
      </c>
      <c r="G21" s="353">
        <f>'L3Procurement Benefits'!G17/10^9</f>
        <v>0.23416902111849433</v>
      </c>
      <c r="H21" s="5"/>
    </row>
    <row r="22" spans="2:8" x14ac:dyDescent="0.3">
      <c r="B22" s="5" t="s">
        <v>12</v>
      </c>
      <c r="C22" s="5" t="s">
        <v>614</v>
      </c>
      <c r="D22" s="5" t="s">
        <v>18</v>
      </c>
      <c r="E22" s="118">
        <v>14100</v>
      </c>
      <c r="F22" s="24" t="s">
        <v>609</v>
      </c>
      <c r="G22" s="353">
        <f>'L3Procurement Benefits'!G18/10^9</f>
        <v>7.7516119716588422E-2</v>
      </c>
      <c r="H22" s="5"/>
    </row>
    <row r="23" spans="2:8" x14ac:dyDescent="0.3">
      <c r="B23" s="72" t="s">
        <v>121</v>
      </c>
      <c r="C23" s="72" t="s">
        <v>72</v>
      </c>
      <c r="D23" s="72"/>
      <c r="E23" s="72"/>
      <c r="F23" s="72"/>
      <c r="G23" s="436">
        <f>SUM(G20:G22)</f>
        <v>1.2831172808350826</v>
      </c>
      <c r="H23" s="5"/>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C1882-C01F-4689-9ECF-5ADF3A7ACAB5}">
  <sheetPr>
    <tabColor theme="9" tint="-9.9978637043366805E-2"/>
  </sheetPr>
  <dimension ref="B1:Y27"/>
  <sheetViews>
    <sheetView zoomScale="90" workbookViewId="0"/>
  </sheetViews>
  <sheetFormatPr defaultColWidth="8.83203125" defaultRowHeight="14" x14ac:dyDescent="0.3"/>
  <cols>
    <col min="1" max="1" width="8.83203125" style="5"/>
    <col min="2" max="2" width="12" style="5" bestFit="1" customWidth="1"/>
    <col min="3" max="3" width="47" style="5" bestFit="1" customWidth="1"/>
    <col min="4" max="4" width="22.58203125" style="5" customWidth="1"/>
    <col min="5" max="5" width="16.1640625" style="5" bestFit="1" customWidth="1"/>
    <col min="6" max="6" width="14.6640625" style="5" bestFit="1" customWidth="1"/>
    <col min="7" max="7" width="17.4140625" style="5" customWidth="1"/>
    <col min="8" max="8" width="36.33203125" style="5" bestFit="1" customWidth="1"/>
    <col min="9" max="22" width="8.83203125" style="3"/>
    <col min="23" max="16384" width="8.83203125" style="5"/>
  </cols>
  <sheetData>
    <row r="1" spans="2:25" s="3" customFormat="1" x14ac:dyDescent="0.3"/>
    <row r="2" spans="2:25" customFormat="1" ht="23" x14ac:dyDescent="0.5">
      <c r="B2" s="50" t="s">
        <v>647</v>
      </c>
      <c r="C2" s="50"/>
      <c r="D2" s="50"/>
      <c r="E2" s="50"/>
      <c r="F2" s="50"/>
      <c r="G2" s="50"/>
      <c r="H2" s="50"/>
      <c r="I2" s="3"/>
      <c r="J2" s="3"/>
      <c r="K2" s="3"/>
      <c r="L2" s="3"/>
      <c r="M2" s="3"/>
      <c r="N2" s="3"/>
      <c r="O2" s="3"/>
      <c r="P2" s="3"/>
      <c r="Q2" s="3"/>
      <c r="R2" s="3"/>
      <c r="S2" s="3"/>
      <c r="T2" s="3"/>
      <c r="U2" s="3"/>
      <c r="V2" s="3"/>
      <c r="W2" s="3"/>
      <c r="X2" s="3"/>
      <c r="Y2" s="3"/>
    </row>
    <row r="3" spans="2:25" x14ac:dyDescent="0.3">
      <c r="E3" s="308"/>
    </row>
    <row r="4" spans="2:25" x14ac:dyDescent="0.3">
      <c r="B4" s="30" t="s">
        <v>616</v>
      </c>
      <c r="C4" s="30" t="s">
        <v>63</v>
      </c>
      <c r="D4" s="30" t="s">
        <v>617</v>
      </c>
      <c r="E4" s="30" t="s">
        <v>618</v>
      </c>
      <c r="F4" s="30" t="s">
        <v>42</v>
      </c>
      <c r="G4" s="30" t="s">
        <v>13</v>
      </c>
      <c r="H4" s="30" t="s">
        <v>14</v>
      </c>
    </row>
    <row r="5" spans="2:25" x14ac:dyDescent="0.3">
      <c r="B5" s="5" t="s">
        <v>3</v>
      </c>
      <c r="C5" s="5" t="s">
        <v>635</v>
      </c>
      <c r="D5" s="5" t="s">
        <v>603</v>
      </c>
      <c r="E5" s="310">
        <v>19552</v>
      </c>
      <c r="F5" s="5" t="s">
        <v>605</v>
      </c>
      <c r="G5" s="5" t="s">
        <v>612</v>
      </c>
      <c r="H5" s="5" t="s">
        <v>606</v>
      </c>
    </row>
    <row r="6" spans="2:25" x14ac:dyDescent="0.3">
      <c r="B6" s="5" t="s">
        <v>3</v>
      </c>
      <c r="C6" s="5" t="s">
        <v>635</v>
      </c>
      <c r="D6" s="5" t="s">
        <v>604</v>
      </c>
      <c r="E6" s="339">
        <v>971432140</v>
      </c>
      <c r="F6" s="5" t="s">
        <v>56</v>
      </c>
      <c r="G6" s="5" t="s">
        <v>612</v>
      </c>
      <c r="H6" s="5" t="s">
        <v>606</v>
      </c>
    </row>
    <row r="7" spans="2:25" x14ac:dyDescent="0.3">
      <c r="B7" s="5" t="s">
        <v>12</v>
      </c>
      <c r="C7" s="5" t="s">
        <v>614</v>
      </c>
      <c r="D7" s="5" t="s">
        <v>608</v>
      </c>
      <c r="E7" s="309">
        <v>2980000000</v>
      </c>
      <c r="F7" s="5" t="s">
        <v>607</v>
      </c>
      <c r="G7" s="5" t="s">
        <v>612</v>
      </c>
      <c r="H7" s="5" t="s">
        <v>606</v>
      </c>
    </row>
    <row r="8" spans="2:25" x14ac:dyDescent="0.3">
      <c r="B8" s="5" t="s">
        <v>12</v>
      </c>
      <c r="C8" s="5" t="s">
        <v>614</v>
      </c>
      <c r="D8" s="5" t="s">
        <v>610</v>
      </c>
      <c r="E8" s="310">
        <v>14100</v>
      </c>
      <c r="F8" s="5" t="s">
        <v>609</v>
      </c>
      <c r="G8" s="5" t="s">
        <v>612</v>
      </c>
      <c r="H8" s="5" t="s">
        <v>606</v>
      </c>
    </row>
    <row r="9" spans="2:25" x14ac:dyDescent="0.3">
      <c r="B9" s="5" t="s">
        <v>12</v>
      </c>
      <c r="C9" s="5" t="s">
        <v>615</v>
      </c>
      <c r="E9" s="310">
        <v>567000</v>
      </c>
      <c r="F9" s="5" t="s">
        <v>607</v>
      </c>
      <c r="G9" s="5" t="s">
        <v>612</v>
      </c>
      <c r="H9" s="5" t="s">
        <v>606</v>
      </c>
    </row>
    <row r="10" spans="2:25" x14ac:dyDescent="0.3">
      <c r="B10" s="5" t="s">
        <v>12</v>
      </c>
      <c r="C10" s="5" t="s">
        <v>615</v>
      </c>
      <c r="E10" s="310">
        <v>47600</v>
      </c>
      <c r="F10" s="5" t="s">
        <v>611</v>
      </c>
      <c r="G10" s="5" t="s">
        <v>612</v>
      </c>
      <c r="H10" s="5" t="s">
        <v>606</v>
      </c>
    </row>
    <row r="12" spans="2:25" x14ac:dyDescent="0.3">
      <c r="B12" s="347" t="s">
        <v>684</v>
      </c>
      <c r="C12" s="347"/>
      <c r="D12" s="347"/>
      <c r="E12" s="347"/>
      <c r="F12" s="347"/>
      <c r="G12" s="347"/>
    </row>
    <row r="14" spans="2:25" x14ac:dyDescent="0.3">
      <c r="B14" s="30" t="s">
        <v>616</v>
      </c>
      <c r="C14" s="30" t="s">
        <v>63</v>
      </c>
      <c r="D14" s="30" t="s">
        <v>7</v>
      </c>
      <c r="E14" s="30" t="s">
        <v>618</v>
      </c>
      <c r="F14" s="30" t="s">
        <v>42</v>
      </c>
      <c r="G14" s="30" t="s">
        <v>685</v>
      </c>
    </row>
    <row r="15" spans="2:25" x14ac:dyDescent="0.3">
      <c r="B15" s="5" t="s">
        <v>3</v>
      </c>
      <c r="C15" s="5" t="s">
        <v>635</v>
      </c>
      <c r="D15" s="5" t="s">
        <v>603</v>
      </c>
      <c r="E15" s="310">
        <v>19552</v>
      </c>
      <c r="F15" s="5" t="s">
        <v>605</v>
      </c>
    </row>
    <row r="16" spans="2:25" x14ac:dyDescent="0.3">
      <c r="B16" s="5" t="s">
        <v>3</v>
      </c>
      <c r="C16" s="5" t="s">
        <v>635</v>
      </c>
      <c r="D16" s="5" t="s">
        <v>705</v>
      </c>
      <c r="E16" s="339">
        <v>971432140</v>
      </c>
      <c r="F16" s="5" t="s">
        <v>56</v>
      </c>
      <c r="G16" s="348">
        <f>E16</f>
        <v>971432140</v>
      </c>
    </row>
    <row r="17" spans="2:7" x14ac:dyDescent="0.3">
      <c r="B17" s="5" t="s">
        <v>12</v>
      </c>
      <c r="C17" s="5" t="s">
        <v>614</v>
      </c>
      <c r="D17" s="5" t="s">
        <v>17</v>
      </c>
      <c r="E17" s="309">
        <v>2980000000</v>
      </c>
      <c r="F17" s="5" t="s">
        <v>607</v>
      </c>
      <c r="G17" s="349">
        <f>E17*'Monetization factors'!H2</f>
        <v>234169021.11849433</v>
      </c>
    </row>
    <row r="18" spans="2:7" x14ac:dyDescent="0.3">
      <c r="B18" s="5" t="s">
        <v>12</v>
      </c>
      <c r="C18" s="5" t="s">
        <v>614</v>
      </c>
      <c r="D18" s="5" t="s">
        <v>18</v>
      </c>
      <c r="E18" s="310">
        <f>E8*10^6</f>
        <v>14100000000</v>
      </c>
      <c r="F18" s="5" t="s">
        <v>688</v>
      </c>
      <c r="G18" s="350">
        <f>E18*'Monetization factors'!I3</f>
        <v>77516119.716588423</v>
      </c>
    </row>
    <row r="19" spans="2:7" x14ac:dyDescent="0.3">
      <c r="B19" s="5" t="s">
        <v>12</v>
      </c>
      <c r="C19" s="5" t="s">
        <v>615</v>
      </c>
      <c r="E19" s="310">
        <v>567000</v>
      </c>
      <c r="F19" s="5" t="s">
        <v>607</v>
      </c>
    </row>
    <row r="20" spans="2:7" x14ac:dyDescent="0.3">
      <c r="B20" s="5" t="s">
        <v>12</v>
      </c>
      <c r="C20" s="5" t="s">
        <v>615</v>
      </c>
      <c r="E20" s="310">
        <v>47600</v>
      </c>
      <c r="F20" s="5" t="s">
        <v>611</v>
      </c>
    </row>
    <row r="21" spans="2:7" x14ac:dyDescent="0.3">
      <c r="B21" s="72" t="s">
        <v>121</v>
      </c>
      <c r="C21" s="72" t="s">
        <v>72</v>
      </c>
      <c r="D21" s="72"/>
      <c r="E21" s="72"/>
      <c r="F21" s="72"/>
      <c r="G21" s="435">
        <f>SUM(G15:G20)</f>
        <v>1283117280.8350828</v>
      </c>
    </row>
    <row r="27" spans="2:7" x14ac:dyDescent="0.3">
      <c r="E27" s="310"/>
      <c r="F27" s="350"/>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D53D9-F329-422E-9E42-9CF8C9A44D1D}">
  <sheetPr codeName="Sheet23">
    <tabColor theme="9" tint="-9.9978637043366805E-2"/>
  </sheetPr>
  <dimension ref="B2:K33"/>
  <sheetViews>
    <sheetView showGridLines="0" zoomScaleNormal="100" workbookViewId="0"/>
  </sheetViews>
  <sheetFormatPr defaultRowHeight="14" x14ac:dyDescent="0.3"/>
  <cols>
    <col min="2" max="2" width="55.4140625" bestFit="1" customWidth="1"/>
    <col min="3" max="3" width="19.58203125" bestFit="1" customWidth="1"/>
    <col min="4" max="4" width="7.58203125" bestFit="1" customWidth="1"/>
    <col min="5" max="5" width="23.33203125" bestFit="1" customWidth="1"/>
  </cols>
  <sheetData>
    <row r="2" spans="2:6" x14ac:dyDescent="0.3">
      <c r="B2" s="88" t="s">
        <v>650</v>
      </c>
      <c r="C2" s="88"/>
      <c r="D2" s="88"/>
      <c r="E2" s="88"/>
      <c r="F2" s="88"/>
    </row>
    <row r="4" spans="2:6" x14ac:dyDescent="0.3">
      <c r="B4" s="88" t="s">
        <v>313</v>
      </c>
      <c r="C4" s="379">
        <f>C13</f>
        <v>1829430000</v>
      </c>
      <c r="D4" s="82" t="s">
        <v>56</v>
      </c>
    </row>
    <row r="5" spans="2:6" x14ac:dyDescent="0.3">
      <c r="B5" s="34" t="s">
        <v>648</v>
      </c>
      <c r="C5" s="52">
        <f>C4/('Baseline without discounts'!C21*10^9)</f>
        <v>9.7830481283422463E-2</v>
      </c>
      <c r="D5" t="s">
        <v>719</v>
      </c>
    </row>
    <row r="6" spans="2:6" x14ac:dyDescent="0.3">
      <c r="E6" s="65"/>
    </row>
    <row r="7" spans="2:6" x14ac:dyDescent="0.3">
      <c r="E7" s="65"/>
    </row>
    <row r="8" spans="2:6" x14ac:dyDescent="0.3">
      <c r="B8" s="32" t="s">
        <v>7</v>
      </c>
      <c r="C8" s="32" t="s">
        <v>117</v>
      </c>
      <c r="D8" s="32" t="s">
        <v>42</v>
      </c>
      <c r="E8" s="32" t="s">
        <v>13</v>
      </c>
      <c r="F8" s="32" t="s">
        <v>14</v>
      </c>
    </row>
    <row r="9" spans="2:6" x14ac:dyDescent="0.3">
      <c r="B9" s="438" t="s">
        <v>640</v>
      </c>
      <c r="C9" s="439">
        <v>2451090000</v>
      </c>
      <c r="D9" s="221" t="s">
        <v>644</v>
      </c>
      <c r="E9" t="s">
        <v>211</v>
      </c>
      <c r="F9" t="s">
        <v>517</v>
      </c>
    </row>
    <row r="10" spans="2:6" x14ac:dyDescent="0.3">
      <c r="B10" s="438" t="s">
        <v>641</v>
      </c>
      <c r="C10" s="439">
        <v>4866630000</v>
      </c>
      <c r="D10" s="221" t="s">
        <v>644</v>
      </c>
      <c r="E10" t="s">
        <v>211</v>
      </c>
      <c r="F10" t="s">
        <v>513</v>
      </c>
    </row>
    <row r="11" spans="2:6" x14ac:dyDescent="0.3">
      <c r="B11" s="438" t="s">
        <v>642</v>
      </c>
      <c r="C11" s="440">
        <f>SUM(C9:C10)</f>
        <v>7317720000</v>
      </c>
      <c r="D11" s="221" t="s">
        <v>644</v>
      </c>
      <c r="E11" t="s">
        <v>152</v>
      </c>
    </row>
    <row r="12" spans="2:6" x14ac:dyDescent="0.3">
      <c r="B12" s="438" t="s">
        <v>643</v>
      </c>
      <c r="C12" s="441">
        <v>0.25</v>
      </c>
      <c r="D12" s="221" t="s">
        <v>56</v>
      </c>
      <c r="E12" t="s">
        <v>646</v>
      </c>
    </row>
    <row r="13" spans="2:6" x14ac:dyDescent="0.3">
      <c r="B13" s="72" t="s">
        <v>645</v>
      </c>
      <c r="C13" s="437">
        <f>C12*C11</f>
        <v>1829430000</v>
      </c>
      <c r="D13" s="423" t="s">
        <v>56</v>
      </c>
      <c r="E13" s="423" t="s">
        <v>152</v>
      </c>
      <c r="F13" s="423"/>
    </row>
    <row r="14" spans="2:6" x14ac:dyDescent="0.3">
      <c r="B14" s="218"/>
      <c r="C14" s="219"/>
      <c r="D14" s="48"/>
    </row>
    <row r="17" spans="11:11" x14ac:dyDescent="0.3">
      <c r="K17" s="214"/>
    </row>
    <row r="28" spans="11:11" hidden="1" x14ac:dyDescent="0.3"/>
    <row r="29" spans="11:11" hidden="1" x14ac:dyDescent="0.3"/>
    <row r="30" spans="11:11" hidden="1" x14ac:dyDescent="0.3"/>
    <row r="31" spans="11:11" hidden="1" x14ac:dyDescent="0.3"/>
    <row r="32" spans="11:11" hidden="1" x14ac:dyDescent="0.3"/>
    <row r="33" hidden="1" x14ac:dyDescent="0.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2C563-A312-4CBA-B611-0303CC35516F}">
  <sheetPr codeName="Sheet4">
    <tabColor theme="4" tint="0.89999084444715716"/>
  </sheetPr>
  <dimension ref="B2:H41"/>
  <sheetViews>
    <sheetView showGridLines="0" zoomScaleNormal="100" workbookViewId="0"/>
  </sheetViews>
  <sheetFormatPr defaultColWidth="8.6640625" defaultRowHeight="14" x14ac:dyDescent="0.3"/>
  <cols>
    <col min="1" max="1" width="8.6640625" style="3"/>
    <col min="2" max="2" width="22.1640625" style="3" customWidth="1"/>
    <col min="3" max="3" width="34.83203125" style="3" customWidth="1"/>
    <col min="4" max="4" width="22.1640625" style="3" customWidth="1"/>
    <col min="5" max="5" width="18.08203125" style="3" customWidth="1"/>
    <col min="6" max="6" width="12" style="3" customWidth="1"/>
    <col min="7" max="16384" width="8.6640625" style="3"/>
  </cols>
  <sheetData>
    <row r="2" spans="2:8" x14ac:dyDescent="0.3">
      <c r="B2" s="1" t="s">
        <v>332</v>
      </c>
      <c r="C2" s="2"/>
      <c r="D2" s="2"/>
      <c r="E2" s="2"/>
    </row>
    <row r="4" spans="2:8" ht="28" x14ac:dyDescent="0.3">
      <c r="B4" s="112" t="s">
        <v>8</v>
      </c>
      <c r="C4" s="113" t="s">
        <v>450</v>
      </c>
      <c r="D4" s="318" t="s">
        <v>333</v>
      </c>
      <c r="E4" s="113" t="s">
        <v>451</v>
      </c>
    </row>
    <row r="5" spans="2:8" x14ac:dyDescent="0.3">
      <c r="B5" s="96" t="s">
        <v>12</v>
      </c>
      <c r="C5" s="444">
        <f>'Baseline without discounts'!E7</f>
        <v>0.71570751509263397</v>
      </c>
      <c r="D5" s="319">
        <f>'Discount rate logic'!C5</f>
        <v>0</v>
      </c>
      <c r="E5" s="443">
        <f>SUMIFS($F$17:$F$39,$B$17:$B$39,B5)</f>
        <v>0.71570751509263397</v>
      </c>
    </row>
    <row r="6" spans="2:8" x14ac:dyDescent="0.3">
      <c r="B6" s="96" t="s">
        <v>1</v>
      </c>
      <c r="C6" s="444">
        <f>'Baseline without discounts'!E8</f>
        <v>1.5241184184955783</v>
      </c>
      <c r="D6" s="319">
        <f>'Discount rate logic'!C6</f>
        <v>0</v>
      </c>
      <c r="E6" s="443">
        <f>SUMIFS($F$17:$F$39,$B$17:$B$39,B6)</f>
        <v>1.5241184184955778</v>
      </c>
    </row>
    <row r="7" spans="2:8" x14ac:dyDescent="0.3">
      <c r="B7" s="96" t="s">
        <v>3</v>
      </c>
      <c r="C7" s="230">
        <f>'Baseline without discounts'!E9</f>
        <v>0</v>
      </c>
      <c r="D7" s="319">
        <f>'Discount rate logic'!C7</f>
        <v>0</v>
      </c>
      <c r="E7" s="143">
        <f>SUMIFS($F$17:$F$39,$B$17:$B$39,B7)</f>
        <v>0</v>
      </c>
    </row>
    <row r="8" spans="2:8" x14ac:dyDescent="0.3">
      <c r="B8" s="97" t="s">
        <v>4</v>
      </c>
      <c r="C8" s="230">
        <f>'Baseline without discounts'!E10</f>
        <v>0</v>
      </c>
      <c r="D8" s="319">
        <f>'Discount rate logic'!C8</f>
        <v>0</v>
      </c>
      <c r="E8" s="143">
        <f>SUMIFS($F$17:$F$39,$B$17:$B$39,B8)</f>
        <v>0</v>
      </c>
    </row>
    <row r="9" spans="2:8" x14ac:dyDescent="0.3">
      <c r="B9" s="96" t="s">
        <v>5</v>
      </c>
      <c r="C9" s="230">
        <f>'Baseline without discounts'!E11</f>
        <v>19.043406870014021</v>
      </c>
      <c r="D9" s="319">
        <f>'Discount rate logic'!C9</f>
        <v>0.78193462465259245</v>
      </c>
      <c r="E9" s="143">
        <f>SUMIFS($F$17:$F$39,$B$17:$B$39,B9)</f>
        <v>4.2017488459923866</v>
      </c>
    </row>
    <row r="10" spans="2:8" x14ac:dyDescent="0.3">
      <c r="B10" s="96" t="s">
        <v>541</v>
      </c>
      <c r="C10" s="230">
        <f>'Baseline without discounts'!E12</f>
        <v>67.761655378560278</v>
      </c>
      <c r="D10" s="319">
        <f>'Discount rate logic'!C10</f>
        <v>0.57380479483137647</v>
      </c>
      <c r="E10" s="143">
        <f>SUMIFS($F$17:$F$40,$B$17:$B$40,B10)</f>
        <v>35.257132849995116</v>
      </c>
    </row>
    <row r="11" spans="2:8" x14ac:dyDescent="0.3">
      <c r="B11" s="114" t="s">
        <v>98</v>
      </c>
      <c r="C11" s="116">
        <f>SUM(C7:C10)</f>
        <v>86.805062248574302</v>
      </c>
      <c r="D11" s="306"/>
      <c r="E11" s="116">
        <f>SUM(E7:E10)</f>
        <v>39.4588816959875</v>
      </c>
    </row>
    <row r="12" spans="2:8" customFormat="1" x14ac:dyDescent="0.3"/>
    <row r="13" spans="2:8" customFormat="1" x14ac:dyDescent="0.3"/>
    <row r="14" spans="2:8" x14ac:dyDescent="0.3">
      <c r="B14" s="69" t="s">
        <v>114</v>
      </c>
      <c r="C14" s="70"/>
      <c r="D14" s="70"/>
      <c r="E14" s="70"/>
      <c r="F14" s="70"/>
    </row>
    <row r="15" spans="2:8" x14ac:dyDescent="0.3">
      <c r="C15"/>
      <c r="D15"/>
      <c r="E15"/>
      <c r="F15"/>
      <c r="H15"/>
    </row>
    <row r="16" spans="2:8" ht="63" customHeight="1" x14ac:dyDescent="0.3">
      <c r="B16" s="32" t="s">
        <v>8</v>
      </c>
      <c r="C16" s="32" t="s">
        <v>7</v>
      </c>
      <c r="D16" s="60" t="s">
        <v>336</v>
      </c>
      <c r="E16" s="31" t="s">
        <v>337</v>
      </c>
      <c r="F16" s="31" t="s">
        <v>338</v>
      </c>
      <c r="H16"/>
    </row>
    <row r="17" spans="2:8" x14ac:dyDescent="0.3">
      <c r="B17" s="446" t="s">
        <v>12</v>
      </c>
      <c r="C17" s="447" t="s">
        <v>17</v>
      </c>
      <c r="D17" s="448">
        <f>INDEX('Baseline without discounts'!$H$31:$H$57,MATCH('Baseline with discounts &gt;&gt;&gt;'!C17,'Baseline without discounts'!$C$31:$C$57,0))</f>
        <v>0.38763086563614074</v>
      </c>
      <c r="E17" s="54">
        <f t="shared" ref="E17:E26" si="0">INDEX($D$5:$D$10,MATCH(B17,$B$5:$B$10,0))</f>
        <v>0</v>
      </c>
      <c r="F17" s="449">
        <f>D17-(D17*E17)</f>
        <v>0.38763086563614074</v>
      </c>
      <c r="H17"/>
    </row>
    <row r="18" spans="2:8" x14ac:dyDescent="0.3">
      <c r="B18" s="446" t="s">
        <v>12</v>
      </c>
      <c r="C18" s="447" t="s">
        <v>18</v>
      </c>
      <c r="D18" s="448">
        <f>INDEX('Baseline without discounts'!$H$31:$H$57,MATCH('Baseline with discounts &gt;&gt;&gt;'!C18,'Baseline without discounts'!$C$31:$C$57,0))</f>
        <v>0.10699811888522762</v>
      </c>
      <c r="E18" s="54">
        <f t="shared" si="0"/>
        <v>0</v>
      </c>
      <c r="F18" s="449">
        <f t="shared" ref="F18:F27" si="1">D18-(D18*E18)</f>
        <v>0.10699811888522762</v>
      </c>
      <c r="H18"/>
    </row>
    <row r="19" spans="2:8" x14ac:dyDescent="0.3">
      <c r="B19" s="446" t="s">
        <v>12</v>
      </c>
      <c r="C19" s="447" t="s">
        <v>0</v>
      </c>
      <c r="D19" s="448">
        <f>INDEX('Baseline without discounts'!$H$31:$H$57,MATCH('Baseline with discounts &gt;&gt;&gt;'!C19,'Baseline without discounts'!$C$31:$C$57,0))</f>
        <v>0.22107853057126556</v>
      </c>
      <c r="E19" s="54">
        <f t="shared" si="0"/>
        <v>0</v>
      </c>
      <c r="F19" s="449">
        <f t="shared" si="1"/>
        <v>0.22107853057126556</v>
      </c>
    </row>
    <row r="20" spans="2:8" x14ac:dyDescent="0.3">
      <c r="B20" s="446" t="s">
        <v>1</v>
      </c>
      <c r="C20" s="447" t="s">
        <v>2</v>
      </c>
      <c r="D20" s="448">
        <f>INDEX('Baseline without discounts'!$H$31:$H$57,MATCH('Baseline with discounts &gt;&gt;&gt;'!C20,'Baseline without discounts'!$C$31:$C$57,0))</f>
        <v>1.1335143143346389</v>
      </c>
      <c r="E20" s="54">
        <f t="shared" si="0"/>
        <v>0</v>
      </c>
      <c r="F20" s="449">
        <f t="shared" si="1"/>
        <v>1.1335143143346389</v>
      </c>
    </row>
    <row r="21" spans="2:8" x14ac:dyDescent="0.3">
      <c r="B21" s="446" t="s">
        <v>1</v>
      </c>
      <c r="C21" s="447" t="s">
        <v>19</v>
      </c>
      <c r="D21" s="448">
        <f>INDEX('Baseline without discounts'!$H$31:$H$57,MATCH('Baseline with discounts &gt;&gt;&gt;'!C21,'Baseline without discounts'!$C$31:$C$57,0))</f>
        <v>0.39060410416093894</v>
      </c>
      <c r="E21" s="54">
        <f t="shared" si="0"/>
        <v>0</v>
      </c>
      <c r="F21" s="449">
        <f t="shared" si="1"/>
        <v>0.39060410416093894</v>
      </c>
    </row>
    <row r="22" spans="2:8" x14ac:dyDescent="0.3">
      <c r="B22" s="19" t="s">
        <v>3</v>
      </c>
      <c r="C22" s="221" t="s">
        <v>567</v>
      </c>
      <c r="D22" s="137">
        <f>INDEX('Baseline without discounts'!$H$31:$H$57,MATCH('Baseline with discounts &gt;&gt;&gt;'!C22,'Baseline without discounts'!$C$31:$C$57,0))</f>
        <v>0</v>
      </c>
      <c r="E22" s="22">
        <f t="shared" si="0"/>
        <v>0</v>
      </c>
      <c r="F22" s="236">
        <f t="shared" si="1"/>
        <v>0</v>
      </c>
    </row>
    <row r="23" spans="2:8" x14ac:dyDescent="0.3">
      <c r="B23" s="19" t="s">
        <v>3</v>
      </c>
      <c r="C23" s="5" t="s">
        <v>20</v>
      </c>
      <c r="D23" s="137">
        <f>INDEX('Baseline without discounts'!$H$31:$H$57,MATCH('Baseline with discounts &gt;&gt;&gt;'!C23,'Baseline without discounts'!$C$31:$C$57,0))</f>
        <v>0</v>
      </c>
      <c r="E23" s="22">
        <f t="shared" si="0"/>
        <v>0</v>
      </c>
      <c r="F23" s="236">
        <f t="shared" si="1"/>
        <v>0</v>
      </c>
    </row>
    <row r="24" spans="2:8" x14ac:dyDescent="0.3">
      <c r="B24" s="19" t="s">
        <v>3</v>
      </c>
      <c r="C24" s="5" t="s">
        <v>21</v>
      </c>
      <c r="D24" s="137">
        <f>INDEX('Baseline without discounts'!$H$31:$H$57,MATCH('Baseline with discounts &gt;&gt;&gt;'!C24,'Baseline without discounts'!$C$31:$C$57,0))</f>
        <v>0</v>
      </c>
      <c r="E24" s="22">
        <f t="shared" si="0"/>
        <v>0</v>
      </c>
      <c r="F24" s="236">
        <f t="shared" si="1"/>
        <v>0</v>
      </c>
    </row>
    <row r="25" spans="2:8" x14ac:dyDescent="0.3">
      <c r="B25" s="19" t="s">
        <v>3</v>
      </c>
      <c r="C25" s="5" t="s">
        <v>22</v>
      </c>
      <c r="D25" s="137">
        <f>INDEX('Baseline without discounts'!$H$31:$H$57,MATCH('Baseline with discounts &gt;&gt;&gt;'!C25,'Baseline without discounts'!$C$31:$C$57,0))</f>
        <v>0</v>
      </c>
      <c r="E25" s="22">
        <f t="shared" si="0"/>
        <v>0</v>
      </c>
      <c r="F25" s="236">
        <f t="shared" si="1"/>
        <v>0</v>
      </c>
    </row>
    <row r="26" spans="2:8" x14ac:dyDescent="0.3">
      <c r="B26" s="18" t="s">
        <v>4</v>
      </c>
      <c r="C26" s="5" t="s">
        <v>23</v>
      </c>
      <c r="D26" s="137">
        <f>INDEX('Baseline without discounts'!$H$31:$H$57,MATCH('Baseline with discounts &gt;&gt;&gt;'!C26,'Baseline without discounts'!$C$31:$C$57,0))</f>
        <v>0</v>
      </c>
      <c r="E26" s="22">
        <f t="shared" si="0"/>
        <v>0</v>
      </c>
      <c r="F26" s="236">
        <f t="shared" si="1"/>
        <v>0</v>
      </c>
    </row>
    <row r="27" spans="2:8" x14ac:dyDescent="0.3">
      <c r="B27" s="19" t="s">
        <v>5</v>
      </c>
      <c r="C27" s="117" t="s">
        <v>24</v>
      </c>
      <c r="D27" s="137">
        <f>INDEX('Baseline without discounts'!$H$31:$H$57,MATCH('Baseline with discounts &gt;&gt;&gt;'!C27,'Baseline without discounts'!$C$31:$C$57,0))</f>
        <v>6.2717748317090316E-2</v>
      </c>
      <c r="E27" s="22">
        <v>0</v>
      </c>
      <c r="F27" s="236">
        <f t="shared" si="1"/>
        <v>6.2717748317090316E-2</v>
      </c>
    </row>
    <row r="28" spans="2:8" x14ac:dyDescent="0.3">
      <c r="B28" s="71" t="s">
        <v>121</v>
      </c>
      <c r="C28" s="72" t="s">
        <v>72</v>
      </c>
      <c r="D28" s="75">
        <f>SUM(D17:D27)</f>
        <v>2.302543681905302</v>
      </c>
      <c r="E28" s="75"/>
      <c r="F28" s="75">
        <f>SUM(F17:F27)</f>
        <v>2.302543681905302</v>
      </c>
    </row>
    <row r="29" spans="2:8" x14ac:dyDescent="0.3">
      <c r="B29" s="19"/>
      <c r="C29" s="5"/>
      <c r="D29"/>
      <c r="E29" s="22"/>
      <c r="F29" s="29"/>
    </row>
    <row r="30" spans="2:8" x14ac:dyDescent="0.3">
      <c r="B30" s="80" t="s">
        <v>113</v>
      </c>
      <c r="C30" s="81"/>
      <c r="D30" s="82"/>
      <c r="E30" s="83"/>
      <c r="F30" s="84"/>
    </row>
    <row r="31" spans="2:8" x14ac:dyDescent="0.3">
      <c r="B31"/>
      <c r="C31" s="5"/>
      <c r="D31"/>
      <c r="E31" s="22"/>
      <c r="F31" s="29"/>
    </row>
    <row r="32" spans="2:8" ht="63" customHeight="1" x14ac:dyDescent="0.3">
      <c r="B32" s="77" t="s">
        <v>8</v>
      </c>
      <c r="C32" s="32" t="s">
        <v>7</v>
      </c>
      <c r="D32" s="60" t="s">
        <v>336</v>
      </c>
      <c r="E32" s="31" t="s">
        <v>337</v>
      </c>
      <c r="F32" s="31" t="s">
        <v>505</v>
      </c>
    </row>
    <row r="33" spans="2:6" x14ac:dyDescent="0.3">
      <c r="B33" s="19" t="s">
        <v>5</v>
      </c>
      <c r="C33" s="5" t="s">
        <v>629</v>
      </c>
      <c r="D33" s="137">
        <f>ABS(INDEX('Baseline without discounts'!$H$31:$H$57,MATCH('Baseline with discounts &gt;&gt;&gt;'!C33,'Baseline without discounts'!$C$31:$C$57,0)))</f>
        <v>3.4416966444121879</v>
      </c>
      <c r="E33" s="52">
        <f>INDEX($D$5:$D$10,MATCH(B33,$B$5:$B$10,0))</f>
        <v>0.78193462465259245</v>
      </c>
      <c r="F33" s="236">
        <f t="shared" ref="F33:F40" si="2">D33-(D33*E33)</f>
        <v>0.7505148705956568</v>
      </c>
    </row>
    <row r="34" spans="2:6" x14ac:dyDescent="0.3">
      <c r="B34" s="19" t="s">
        <v>5</v>
      </c>
      <c r="C34" s="271" t="s">
        <v>6</v>
      </c>
      <c r="D34" s="137">
        <f>ABS(INDEX('Baseline without discounts'!$H$31:$H$57,MATCH('Baseline with discounts &gt;&gt;&gt;'!C34,'Baseline without discounts'!$C$31:$C$57,0)))</f>
        <v>15.538992477284744</v>
      </c>
      <c r="E34" s="52">
        <f>INDEX($D$5:$D$10,MATCH(B34,$B$5:$B$10,0))</f>
        <v>0.78193462465259245</v>
      </c>
      <c r="F34" s="236">
        <f t="shared" si="2"/>
        <v>3.3885162270796396</v>
      </c>
    </row>
    <row r="35" spans="2:6" x14ac:dyDescent="0.3">
      <c r="B35" s="19" t="s">
        <v>541</v>
      </c>
      <c r="C35" s="271" t="s">
        <v>488</v>
      </c>
      <c r="D35" s="137">
        <f>ABS(INDEX('Baseline without discounts'!$H$31:$H$57,MATCH('Baseline with discounts &gt;&gt;&gt;'!C35,'Baseline without discounts'!$C$31:$C$57,0)))</f>
        <v>23.781695930878264</v>
      </c>
      <c r="E35" s="52">
        <f>INDEX($D$5:$D$10,MATCH(B35,$B$5:$B$10,0))</f>
        <v>0.57380479483137647</v>
      </c>
      <c r="F35" s="236">
        <f t="shared" si="2"/>
        <v>10.135644776518481</v>
      </c>
    </row>
    <row r="36" spans="2:6" x14ac:dyDescent="0.3">
      <c r="B36" s="19" t="s">
        <v>541</v>
      </c>
      <c r="C36" s="271" t="s">
        <v>490</v>
      </c>
      <c r="D36" s="137">
        <f>ABS(INDEX('Baseline without discounts'!$H$31:$H$57,MATCH('Baseline with discounts &gt;&gt;&gt;'!C36,'Baseline without discounts'!$C$31:$C$57,0)))</f>
        <v>7.8382528425241622</v>
      </c>
      <c r="E36" s="52">
        <v>0</v>
      </c>
      <c r="F36" s="236">
        <f t="shared" si="2"/>
        <v>7.8382528425241622</v>
      </c>
    </row>
    <row r="37" spans="2:6" x14ac:dyDescent="0.3">
      <c r="B37" s="19" t="s">
        <v>541</v>
      </c>
      <c r="C37" s="271" t="s">
        <v>492</v>
      </c>
      <c r="D37" s="137">
        <f>ABS(INDEX('Baseline without discounts'!$H$31:$H$57,MATCH('Baseline with discounts &gt;&gt;&gt;'!C37,'Baseline without discounts'!$C$31:$C$57,0)))</f>
        <v>3.2760499496618012</v>
      </c>
      <c r="E37" s="52">
        <v>0</v>
      </c>
      <c r="F37" s="236">
        <f t="shared" si="2"/>
        <v>3.2760499496618012</v>
      </c>
    </row>
    <row r="38" spans="2:6" x14ac:dyDescent="0.3">
      <c r="B38" s="19" t="s">
        <v>541</v>
      </c>
      <c r="C38" s="271" t="s">
        <v>633</v>
      </c>
      <c r="D38" s="137">
        <f>ABS(INDEX('Baseline without discounts'!$H$31:$H$57,MATCH('Baseline with discounts &gt;&gt;&gt;'!C38,'Baseline without discounts'!$C$31:$C$57,0)))</f>
        <v>9.9090399711992774</v>
      </c>
      <c r="E38" s="52">
        <f>INDEX($D$5:$D$10,MATCH(B38,$B$5:$B$10,0))</f>
        <v>0.57380479483137647</v>
      </c>
      <c r="F38" s="236">
        <f t="shared" si="2"/>
        <v>4.2231853235493677</v>
      </c>
    </row>
    <row r="39" spans="2:6" x14ac:dyDescent="0.3">
      <c r="B39" s="19" t="s">
        <v>541</v>
      </c>
      <c r="C39" s="271" t="s">
        <v>491</v>
      </c>
      <c r="D39" s="137">
        <f>ABS(INDEX('Baseline without discounts'!$H$31:$H$57,MATCH('Baseline with discounts &gt;&gt;&gt;'!C39,'Baseline without discounts'!$C$31:$C$57,0)))</f>
        <v>6.7300581681941205</v>
      </c>
      <c r="E39" s="52">
        <f>INDEX($D$5:$D$10,MATCH(B39,$B$5:$B$10,0))</f>
        <v>0.57380479483137647</v>
      </c>
      <c r="F39" s="236">
        <f t="shared" si="2"/>
        <v>2.8683185217902638</v>
      </c>
    </row>
    <row r="40" spans="2:6" x14ac:dyDescent="0.3">
      <c r="B40" s="19" t="s">
        <v>541</v>
      </c>
      <c r="C40" s="271" t="s">
        <v>489</v>
      </c>
      <c r="D40" s="137">
        <f>ABS(INDEX('Baseline without discounts'!$H$31:$H$57,MATCH('Baseline with discounts &gt;&gt;&gt;'!C40,'Baseline without discounts'!$C$31:$C$57,0)))</f>
        <v>16.226558516102649</v>
      </c>
      <c r="E40" s="52">
        <f>INDEX($D$5:$D$10,MATCH(B40,$B$5:$B$10,0))</f>
        <v>0.57380479483137647</v>
      </c>
      <c r="F40" s="236">
        <f t="shared" si="2"/>
        <v>6.9156814359510435</v>
      </c>
    </row>
    <row r="41" spans="2:6" x14ac:dyDescent="0.3">
      <c r="B41" s="80" t="s">
        <v>121</v>
      </c>
      <c r="C41" s="86" t="s">
        <v>72</v>
      </c>
      <c r="D41" s="90">
        <f>SUM(D33:D40)</f>
        <v>86.742344500257218</v>
      </c>
      <c r="E41" s="90"/>
      <c r="F41" s="90">
        <f>SUM(F33:F40)</f>
        <v>39.396163947670416</v>
      </c>
    </row>
  </sheetData>
  <dataConsolidate link="1"/>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3EC87-D756-4BE1-B091-03C63DD0A719}">
  <sheetPr codeName="Sheet15"/>
  <dimension ref="A1"/>
  <sheetViews>
    <sheetView workbookViewId="0">
      <selection activeCell="B1" sqref="B1"/>
    </sheetView>
  </sheetViews>
  <sheetFormatPr defaultRowHeight="14" x14ac:dyDescent="0.3"/>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EA432-5FD9-44E6-A52C-9D93A6FABBE1}">
  <dimension ref="A1:K12"/>
  <sheetViews>
    <sheetView zoomScale="115" zoomScaleNormal="115" workbookViewId="0">
      <selection activeCell="A9" sqref="A9"/>
    </sheetView>
  </sheetViews>
  <sheetFormatPr defaultColWidth="8.6640625" defaultRowHeight="14" x14ac:dyDescent="0.3"/>
  <cols>
    <col min="1" max="1" width="33.4140625" style="3" bestFit="1" customWidth="1"/>
    <col min="2" max="2" width="66.6640625" style="3" bestFit="1" customWidth="1"/>
    <col min="3" max="3" width="5.1640625" style="3" bestFit="1" customWidth="1"/>
    <col min="4" max="4" width="8.5" style="3" bestFit="1" customWidth="1"/>
    <col min="5" max="5" width="11.9140625" style="3" bestFit="1" customWidth="1"/>
    <col min="6" max="6" width="14.08203125" style="3" bestFit="1" customWidth="1"/>
    <col min="7" max="7" width="11.4140625" style="3" bestFit="1" customWidth="1"/>
    <col min="8" max="8" width="18.08203125" style="3" bestFit="1" customWidth="1"/>
    <col min="9" max="9" width="8.6640625" style="3"/>
    <col min="10" max="10" width="11.4140625" style="3" bestFit="1" customWidth="1"/>
    <col min="11" max="16384" width="8.6640625" style="3"/>
  </cols>
  <sheetData>
    <row r="1" spans="1:11" x14ac:dyDescent="0.3">
      <c r="A1" s="30" t="s">
        <v>651</v>
      </c>
      <c r="B1" s="30" t="s">
        <v>652</v>
      </c>
      <c r="C1" s="30" t="s">
        <v>326</v>
      </c>
      <c r="D1" s="30" t="s">
        <v>653</v>
      </c>
      <c r="E1" s="30" t="s">
        <v>654</v>
      </c>
      <c r="F1" s="30" t="s">
        <v>42</v>
      </c>
      <c r="G1" s="30" t="s">
        <v>655</v>
      </c>
      <c r="H1" s="30" t="s">
        <v>686</v>
      </c>
      <c r="I1" s="30" t="s">
        <v>687</v>
      </c>
    </row>
    <row r="2" spans="1:11" x14ac:dyDescent="0.3">
      <c r="A2" s="3" t="s">
        <v>17</v>
      </c>
      <c r="B2" s="3" t="s">
        <v>656</v>
      </c>
      <c r="C2" s="3">
        <v>2020</v>
      </c>
      <c r="D2" s="3" t="s">
        <v>657</v>
      </c>
      <c r="E2" s="3">
        <v>0.15172448299999999</v>
      </c>
      <c r="F2" s="3" t="s">
        <v>658</v>
      </c>
      <c r="G2" s="23">
        <f>$K$2*E2</f>
        <v>0.17326935958599998</v>
      </c>
      <c r="H2" s="23">
        <f>G2/2.205</f>
        <v>7.8580208429024939E-2</v>
      </c>
      <c r="J2" s="345" t="s">
        <v>659</v>
      </c>
      <c r="K2" s="346">
        <v>1.1419999999999999</v>
      </c>
    </row>
    <row r="3" spans="1:11" x14ac:dyDescent="0.3">
      <c r="A3" s="3" t="s">
        <v>660</v>
      </c>
      <c r="B3" s="3" t="s">
        <v>661</v>
      </c>
      <c r="C3" s="3">
        <v>2020</v>
      </c>
      <c r="D3" s="3" t="s">
        <v>657</v>
      </c>
      <c r="E3" s="3">
        <v>1.2717261230000001</v>
      </c>
      <c r="F3" s="3" t="s">
        <v>662</v>
      </c>
      <c r="G3" s="23">
        <f t="shared" ref="G3:G12" si="0">$K$2*E3</f>
        <v>1.4523112324659999</v>
      </c>
      <c r="H3" s="23"/>
      <c r="I3" s="3">
        <f>G3/264.172</f>
        <v>5.4975971430204556E-3</v>
      </c>
    </row>
    <row r="4" spans="1:11" x14ac:dyDescent="0.3">
      <c r="A4" s="3" t="s">
        <v>663</v>
      </c>
      <c r="B4" s="3" t="s">
        <v>664</v>
      </c>
      <c r="C4" s="3">
        <v>2020</v>
      </c>
      <c r="D4" s="3" t="s">
        <v>657</v>
      </c>
      <c r="E4" s="3">
        <v>2.7465613999999996E-2</v>
      </c>
      <c r="F4" s="3" t="s">
        <v>665</v>
      </c>
      <c r="G4" s="23">
        <f t="shared" si="0"/>
        <v>3.1365731187999991E-2</v>
      </c>
      <c r="H4" s="23"/>
    </row>
    <row r="5" spans="1:11" x14ac:dyDescent="0.3">
      <c r="A5" s="3" t="s">
        <v>666</v>
      </c>
      <c r="B5" s="3" t="s">
        <v>667</v>
      </c>
      <c r="C5" s="3">
        <v>2020</v>
      </c>
      <c r="D5" s="3" t="s">
        <v>657</v>
      </c>
      <c r="E5" s="3">
        <v>3.5058671999999992E-2</v>
      </c>
      <c r="F5" s="3" t="s">
        <v>665</v>
      </c>
      <c r="G5" s="23">
        <f t="shared" si="0"/>
        <v>4.0037003423999989E-2</v>
      </c>
      <c r="H5" s="23"/>
    </row>
    <row r="6" spans="1:11" x14ac:dyDescent="0.3">
      <c r="A6" s="3" t="s">
        <v>668</v>
      </c>
      <c r="B6" s="3" t="s">
        <v>669</v>
      </c>
      <c r="C6" s="3">
        <v>2020</v>
      </c>
      <c r="D6" s="3" t="s">
        <v>657</v>
      </c>
      <c r="E6" s="3">
        <v>2089.6608590000001</v>
      </c>
      <c r="F6" s="3" t="s">
        <v>670</v>
      </c>
      <c r="G6" s="23">
        <f t="shared" si="0"/>
        <v>2386.392700978</v>
      </c>
      <c r="H6" s="23"/>
    </row>
    <row r="7" spans="1:11" x14ac:dyDescent="0.3">
      <c r="A7" s="3" t="s">
        <v>671</v>
      </c>
      <c r="B7" s="3" t="s">
        <v>672</v>
      </c>
      <c r="C7" s="3">
        <v>2020</v>
      </c>
      <c r="D7" s="3" t="s">
        <v>657</v>
      </c>
      <c r="E7" s="3">
        <v>1000.020292</v>
      </c>
      <c r="F7" s="3" t="s">
        <v>670</v>
      </c>
      <c r="G7" s="23">
        <f t="shared" si="0"/>
        <v>1142.0231734639999</v>
      </c>
      <c r="H7" s="23"/>
    </row>
    <row r="8" spans="1:11" x14ac:dyDescent="0.3">
      <c r="A8" s="3" t="s">
        <v>696</v>
      </c>
      <c r="B8" s="3" t="s">
        <v>673</v>
      </c>
      <c r="C8" s="3">
        <v>2020</v>
      </c>
      <c r="D8" s="3" t="s">
        <v>657</v>
      </c>
      <c r="E8" s="3">
        <v>1350.5154250000001</v>
      </c>
      <c r="F8" s="3" t="s">
        <v>670</v>
      </c>
      <c r="G8" s="23">
        <f t="shared" si="0"/>
        <v>1542.2886153499999</v>
      </c>
      <c r="H8" s="23"/>
    </row>
    <row r="9" spans="1:11" x14ac:dyDescent="0.3">
      <c r="A9" s="3" t="s">
        <v>674</v>
      </c>
      <c r="B9" s="3" t="s">
        <v>675</v>
      </c>
      <c r="C9" s="3">
        <v>2020</v>
      </c>
      <c r="D9" s="3" t="s">
        <v>657</v>
      </c>
      <c r="E9" s="3">
        <v>2394.0148599999998</v>
      </c>
      <c r="F9" s="3" t="s">
        <v>670</v>
      </c>
      <c r="G9" s="23">
        <f t="shared" si="0"/>
        <v>2733.9649701199996</v>
      </c>
      <c r="H9" s="23"/>
    </row>
    <row r="10" spans="1:11" x14ac:dyDescent="0.3">
      <c r="A10" s="3" t="s">
        <v>676</v>
      </c>
      <c r="B10" s="3" t="s">
        <v>677</v>
      </c>
      <c r="C10" s="3">
        <v>2020</v>
      </c>
      <c r="D10" s="3" t="s">
        <v>657</v>
      </c>
      <c r="E10" s="3">
        <v>35572.032185999997</v>
      </c>
      <c r="F10" s="3" t="s">
        <v>678</v>
      </c>
      <c r="G10" s="23">
        <f t="shared" si="0"/>
        <v>40623.26075641199</v>
      </c>
      <c r="H10" s="23"/>
    </row>
    <row r="11" spans="1:11" x14ac:dyDescent="0.3">
      <c r="A11" s="3" t="s">
        <v>679</v>
      </c>
      <c r="B11" s="3" t="s">
        <v>680</v>
      </c>
      <c r="C11" s="3">
        <v>2020</v>
      </c>
      <c r="D11" s="3" t="s">
        <v>657</v>
      </c>
      <c r="E11" s="3">
        <v>17895.623146000002</v>
      </c>
      <c r="F11" s="3" t="s">
        <v>681</v>
      </c>
      <c r="G11" s="23">
        <f t="shared" si="0"/>
        <v>20436.801632732</v>
      </c>
      <c r="H11" s="23"/>
    </row>
    <row r="12" spans="1:11" x14ac:dyDescent="0.3">
      <c r="A12" s="3" t="s">
        <v>20</v>
      </c>
      <c r="B12" s="3" t="s">
        <v>682</v>
      </c>
      <c r="C12" s="3">
        <v>2020</v>
      </c>
      <c r="D12" s="3" t="s">
        <v>657</v>
      </c>
      <c r="E12" s="3">
        <v>1.0240952130000001</v>
      </c>
      <c r="F12" s="3" t="s">
        <v>683</v>
      </c>
      <c r="G12" s="23">
        <f t="shared" si="0"/>
        <v>1.1695167332459999</v>
      </c>
      <c r="H12" s="23"/>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006B0-0C92-41A5-8221-52288842332B}">
  <sheetPr codeName="Sheet29"/>
  <dimension ref="A1:AA99"/>
  <sheetViews>
    <sheetView zoomScale="80" zoomScaleNormal="80" workbookViewId="0">
      <selection activeCell="A63" sqref="A63"/>
    </sheetView>
  </sheetViews>
  <sheetFormatPr defaultColWidth="8.6640625" defaultRowHeight="14" x14ac:dyDescent="0.3"/>
  <cols>
    <col min="1" max="1" width="10.5" style="3" customWidth="1"/>
    <col min="2" max="2" width="35.83203125" style="3" bestFit="1" customWidth="1"/>
    <col min="3" max="3" width="11.6640625" style="3" customWidth="1"/>
    <col min="4" max="4" width="12.08203125" style="3" customWidth="1"/>
    <col min="5" max="5" width="9.1640625" style="3" customWidth="1"/>
    <col min="6" max="6" width="10.5" style="3" customWidth="1"/>
    <col min="7" max="8" width="8.58203125" style="3" customWidth="1"/>
    <col min="9" max="9" width="16.1640625" style="3" customWidth="1"/>
    <col min="10" max="10" width="13" style="3" bestFit="1" customWidth="1"/>
    <col min="11" max="11" width="9.83203125" style="3" customWidth="1"/>
    <col min="12" max="12" width="9.6640625" style="3" bestFit="1" customWidth="1"/>
    <col min="13" max="13" width="8.6640625" style="3" customWidth="1"/>
    <col min="14" max="14" width="8.6640625" style="3"/>
    <col min="15" max="15" width="8.6640625" style="3" customWidth="1"/>
    <col min="16" max="16384" width="8.6640625" style="3"/>
  </cols>
  <sheetData>
    <row r="1" spans="1:27" x14ac:dyDescent="0.3">
      <c r="A1" s="1" t="s">
        <v>231</v>
      </c>
      <c r="B1" s="2"/>
      <c r="C1" s="2"/>
      <c r="D1" s="2"/>
      <c r="E1" s="2"/>
      <c r="F1" s="2"/>
      <c r="G1" s="2"/>
      <c r="H1" s="2"/>
      <c r="I1" s="164"/>
      <c r="J1" s="2"/>
      <c r="K1" s="2"/>
      <c r="L1" s="2"/>
      <c r="M1" s="2"/>
      <c r="N1" s="2"/>
    </row>
    <row r="2" spans="1:27" x14ac:dyDescent="0.3">
      <c r="A2" s="4"/>
      <c r="B2" s="4"/>
      <c r="C2" s="4"/>
      <c r="D2" s="4"/>
      <c r="E2" s="4"/>
      <c r="F2" s="4"/>
      <c r="I2" s="155"/>
      <c r="J2" s="165"/>
    </row>
    <row r="3" spans="1:27" x14ac:dyDescent="0.3">
      <c r="A3" s="4" t="s">
        <v>232</v>
      </c>
      <c r="B3" s="4"/>
      <c r="D3" s="4"/>
      <c r="E3" s="4"/>
      <c r="I3" s="166" t="s">
        <v>233</v>
      </c>
      <c r="J3" s="4"/>
    </row>
    <row r="4" spans="1:27" x14ac:dyDescent="0.3">
      <c r="A4" s="152" t="s">
        <v>42</v>
      </c>
      <c r="B4" s="153" t="s">
        <v>13</v>
      </c>
      <c r="C4" s="153" t="s">
        <v>69</v>
      </c>
      <c r="D4" s="154" t="s">
        <v>13</v>
      </c>
      <c r="E4" s="4"/>
      <c r="I4" s="167" t="s">
        <v>234</v>
      </c>
    </row>
    <row r="5" spans="1:27" x14ac:dyDescent="0.3">
      <c r="A5" s="155" t="s">
        <v>235</v>
      </c>
      <c r="B5" s="3" t="s">
        <v>236</v>
      </c>
      <c r="C5" s="168">
        <v>11264596.390000001</v>
      </c>
      <c r="D5" s="169" t="s">
        <v>237</v>
      </c>
      <c r="E5" s="27" t="s">
        <v>15</v>
      </c>
      <c r="I5" s="170" t="s">
        <v>238</v>
      </c>
      <c r="J5" s="171" t="s">
        <v>239</v>
      </c>
      <c r="K5" s="171" t="s">
        <v>238</v>
      </c>
      <c r="L5" s="171" t="s">
        <v>240</v>
      </c>
      <c r="M5" s="171" t="s">
        <v>241</v>
      </c>
      <c r="N5" s="172" t="s">
        <v>242</v>
      </c>
    </row>
    <row r="6" spans="1:27" x14ac:dyDescent="0.3">
      <c r="A6" s="173" t="s">
        <v>243</v>
      </c>
      <c r="B6" s="160" t="s">
        <v>244</v>
      </c>
      <c r="C6" s="161">
        <v>6.2</v>
      </c>
      <c r="D6" s="174" t="s">
        <v>245</v>
      </c>
      <c r="E6" s="27" t="s">
        <v>15</v>
      </c>
      <c r="I6" s="155" t="s">
        <v>246</v>
      </c>
      <c r="J6" s="3" t="s">
        <v>247</v>
      </c>
      <c r="K6" s="3">
        <v>100</v>
      </c>
      <c r="L6" s="3">
        <v>1</v>
      </c>
      <c r="M6" s="3">
        <v>1</v>
      </c>
      <c r="N6" s="175">
        <v>1</v>
      </c>
      <c r="O6" s="14"/>
    </row>
    <row r="7" spans="1:27" x14ac:dyDescent="0.3">
      <c r="A7" s="93"/>
      <c r="C7" s="176">
        <f>C5*C6/10^6</f>
        <v>69.840497618000001</v>
      </c>
      <c r="D7" s="4" t="s">
        <v>217</v>
      </c>
      <c r="E7" s="27"/>
      <c r="I7" s="155" t="s">
        <v>248</v>
      </c>
      <c r="J7" s="3" t="s">
        <v>249</v>
      </c>
      <c r="K7" s="3">
        <v>100</v>
      </c>
      <c r="L7" s="3">
        <v>21</v>
      </c>
      <c r="M7" s="3">
        <v>25</v>
      </c>
      <c r="N7" s="175">
        <v>28</v>
      </c>
    </row>
    <row r="8" spans="1:27" x14ac:dyDescent="0.3">
      <c r="D8" s="4"/>
      <c r="I8" s="155" t="s">
        <v>250</v>
      </c>
      <c r="J8" s="3" t="s">
        <v>251</v>
      </c>
      <c r="K8" s="3">
        <v>100</v>
      </c>
      <c r="L8" s="3">
        <v>310</v>
      </c>
      <c r="M8" s="3">
        <v>298</v>
      </c>
      <c r="N8" s="175">
        <v>265</v>
      </c>
      <c r="Q8" s="23"/>
    </row>
    <row r="9" spans="1:27" x14ac:dyDescent="0.3">
      <c r="A9" s="4" t="s">
        <v>252</v>
      </c>
      <c r="B9" s="4"/>
      <c r="C9" s="14"/>
      <c r="D9" s="4"/>
      <c r="I9" s="155" t="s">
        <v>246</v>
      </c>
      <c r="J9" s="3" t="s">
        <v>247</v>
      </c>
      <c r="K9" s="3">
        <v>20</v>
      </c>
      <c r="L9" s="3">
        <v>1</v>
      </c>
      <c r="M9" s="3">
        <v>1</v>
      </c>
      <c r="N9" s="175">
        <v>1</v>
      </c>
      <c r="Q9" s="23"/>
    </row>
    <row r="10" spans="1:27" x14ac:dyDescent="0.3">
      <c r="A10" s="152" t="s">
        <v>42</v>
      </c>
      <c r="B10" s="153" t="s">
        <v>13</v>
      </c>
      <c r="C10" s="153" t="s">
        <v>69</v>
      </c>
      <c r="D10" s="154" t="s">
        <v>13</v>
      </c>
      <c r="I10" s="155" t="s">
        <v>248</v>
      </c>
      <c r="J10" s="3" t="s">
        <v>249</v>
      </c>
      <c r="K10" s="3">
        <v>20</v>
      </c>
      <c r="L10" s="3">
        <v>56</v>
      </c>
      <c r="M10" s="3">
        <v>72</v>
      </c>
      <c r="N10" s="175">
        <v>84</v>
      </c>
      <c r="Q10" s="23"/>
    </row>
    <row r="11" spans="1:27" x14ac:dyDescent="0.3">
      <c r="A11" s="177" t="s">
        <v>217</v>
      </c>
      <c r="B11" s="3" t="s">
        <v>253</v>
      </c>
      <c r="C11" s="24">
        <v>0.9</v>
      </c>
      <c r="D11" s="156" t="s">
        <v>254</v>
      </c>
      <c r="E11" s="3" t="s">
        <v>15</v>
      </c>
      <c r="I11" s="159" t="s">
        <v>250</v>
      </c>
      <c r="J11" s="160" t="s">
        <v>251</v>
      </c>
      <c r="K11" s="160">
        <v>20</v>
      </c>
      <c r="L11" s="160">
        <v>280</v>
      </c>
      <c r="M11" s="160">
        <v>289</v>
      </c>
      <c r="N11" s="178">
        <v>264</v>
      </c>
      <c r="Q11" s="23"/>
    </row>
    <row r="12" spans="1:27" x14ac:dyDescent="0.3">
      <c r="A12" s="159" t="s">
        <v>255</v>
      </c>
      <c r="B12" s="160" t="s">
        <v>256</v>
      </c>
      <c r="C12" s="179">
        <v>1</v>
      </c>
      <c r="D12" s="162" t="s">
        <v>192</v>
      </c>
      <c r="E12" s="3" t="s">
        <v>15</v>
      </c>
      <c r="I12" s="155"/>
      <c r="Q12" s="23"/>
    </row>
    <row r="13" spans="1:27" x14ac:dyDescent="0.3">
      <c r="A13" s="93"/>
      <c r="C13" s="176">
        <f>C11*C12</f>
        <v>0.9</v>
      </c>
      <c r="D13" s="4" t="s">
        <v>217</v>
      </c>
      <c r="I13" s="180" t="s">
        <v>257</v>
      </c>
      <c r="Q13" s="23"/>
    </row>
    <row r="14" spans="1:27" ht="14" customHeight="1" x14ac:dyDescent="0.3">
      <c r="I14" s="181" t="s">
        <v>258</v>
      </c>
      <c r="J14" s="182" t="s">
        <v>259</v>
      </c>
      <c r="K14" s="182"/>
      <c r="L14" s="182"/>
      <c r="M14" s="182"/>
      <c r="N14" s="183"/>
      <c r="O14" s="3" t="s">
        <v>15</v>
      </c>
      <c r="P14" s="184"/>
      <c r="Q14" s="185"/>
      <c r="R14" s="186"/>
      <c r="S14" s="186"/>
      <c r="T14" s="184"/>
      <c r="U14" s="184"/>
      <c r="V14" s="184"/>
      <c r="W14" s="184"/>
      <c r="X14" s="184"/>
      <c r="Y14" s="184"/>
      <c r="Z14" s="184"/>
      <c r="AA14" s="184"/>
    </row>
    <row r="15" spans="1:27" x14ac:dyDescent="0.3">
      <c r="A15" s="4" t="s">
        <v>260</v>
      </c>
      <c r="C15" s="3" t="s">
        <v>261</v>
      </c>
      <c r="D15" s="3" t="s">
        <v>217</v>
      </c>
      <c r="E15" s="3" t="s">
        <v>217</v>
      </c>
      <c r="G15" s="3" t="s">
        <v>15</v>
      </c>
      <c r="I15" s="177" t="s">
        <v>262</v>
      </c>
      <c r="J15" s="93" t="s">
        <v>263</v>
      </c>
      <c r="K15" s="93"/>
      <c r="L15" s="93"/>
      <c r="M15" s="93"/>
      <c r="N15" s="169"/>
      <c r="O15" s="3" t="s">
        <v>15</v>
      </c>
      <c r="P15" s="187"/>
      <c r="Q15" s="188"/>
      <c r="R15" s="189"/>
      <c r="S15" s="189"/>
      <c r="T15" s="187"/>
      <c r="U15" s="187"/>
      <c r="V15" s="187"/>
      <c r="W15" s="187"/>
      <c r="X15" s="187"/>
      <c r="Y15" s="187"/>
      <c r="Z15" s="187"/>
      <c r="AA15" s="187"/>
    </row>
    <row r="16" spans="1:27" x14ac:dyDescent="0.3">
      <c r="A16" s="152" t="s">
        <v>264</v>
      </c>
      <c r="B16" s="153" t="s">
        <v>13</v>
      </c>
      <c r="C16" s="153" t="s">
        <v>69</v>
      </c>
      <c r="D16" s="153" t="s">
        <v>215</v>
      </c>
      <c r="E16" s="153" t="s">
        <v>216</v>
      </c>
      <c r="F16" s="154" t="s">
        <v>13</v>
      </c>
      <c r="I16" s="177" t="s">
        <v>265</v>
      </c>
      <c r="J16" s="93" t="s">
        <v>266</v>
      </c>
      <c r="K16" s="93"/>
      <c r="L16" s="93"/>
      <c r="M16" s="93"/>
      <c r="N16" s="169"/>
      <c r="O16" s="3" t="s">
        <v>15</v>
      </c>
      <c r="P16" s="187"/>
      <c r="Q16" s="188"/>
      <c r="R16" s="189"/>
      <c r="S16" s="189"/>
      <c r="T16" s="187"/>
      <c r="U16" s="187"/>
      <c r="V16" s="187"/>
      <c r="W16" s="187"/>
      <c r="X16" s="187"/>
      <c r="Y16" s="187"/>
      <c r="Z16" s="187"/>
      <c r="AA16" s="187"/>
    </row>
    <row r="17" spans="1:17" x14ac:dyDescent="0.3">
      <c r="A17" s="190" t="s">
        <v>246</v>
      </c>
      <c r="B17" s="3" t="s">
        <v>267</v>
      </c>
      <c r="C17" s="122">
        <v>4598</v>
      </c>
      <c r="D17" s="24">
        <f t="shared" ref="D17:E22" si="0">$C17*INDEX($J$21:$L$22,MATCH(D$16,$I$21:$I$22,0),MATCH($A17,$J$20:$L$20,0))/10^3</f>
        <v>4.5979999999999999</v>
      </c>
      <c r="E17" s="24">
        <f t="shared" si="0"/>
        <v>4.5979999999999999</v>
      </c>
      <c r="F17" s="156" t="s">
        <v>254</v>
      </c>
      <c r="G17" s="3" t="s">
        <v>15</v>
      </c>
      <c r="I17" s="173" t="s">
        <v>268</v>
      </c>
      <c r="J17" s="191" t="s">
        <v>269</v>
      </c>
      <c r="K17" s="191"/>
      <c r="L17" s="191"/>
      <c r="M17" s="191"/>
      <c r="N17" s="174"/>
      <c r="O17" s="3" t="s">
        <v>15</v>
      </c>
      <c r="Q17" s="23"/>
    </row>
    <row r="18" spans="1:17" x14ac:dyDescent="0.3">
      <c r="A18" s="190" t="s">
        <v>246</v>
      </c>
      <c r="B18" s="3" t="s">
        <v>270</v>
      </c>
      <c r="C18" s="122">
        <v>3147</v>
      </c>
      <c r="D18" s="24">
        <f t="shared" si="0"/>
        <v>3.1469999999999998</v>
      </c>
      <c r="E18" s="24">
        <f t="shared" si="0"/>
        <v>3.1469999999999998</v>
      </c>
      <c r="F18" s="156" t="s">
        <v>254</v>
      </c>
      <c r="G18" s="3" t="s">
        <v>15</v>
      </c>
      <c r="I18" s="155"/>
      <c r="O18" s="3" t="s">
        <v>15</v>
      </c>
    </row>
    <row r="19" spans="1:17" x14ac:dyDescent="0.3">
      <c r="A19" s="190" t="s">
        <v>248</v>
      </c>
      <c r="B19" s="3" t="s">
        <v>271</v>
      </c>
      <c r="C19" s="122">
        <v>533</v>
      </c>
      <c r="D19" s="24">
        <f t="shared" si="0"/>
        <v>13.324999999999999</v>
      </c>
      <c r="E19" s="24">
        <f t="shared" si="0"/>
        <v>38.375999999999998</v>
      </c>
      <c r="F19" s="156" t="s">
        <v>254</v>
      </c>
      <c r="G19" s="3" t="s">
        <v>15</v>
      </c>
      <c r="I19" s="167" t="s">
        <v>272</v>
      </c>
    </row>
    <row r="20" spans="1:17" x14ac:dyDescent="0.3">
      <c r="A20" s="190" t="s">
        <v>248</v>
      </c>
      <c r="B20" s="3" t="s">
        <v>273</v>
      </c>
      <c r="C20" s="122">
        <v>16</v>
      </c>
      <c r="D20" s="24">
        <f t="shared" si="0"/>
        <v>0.4</v>
      </c>
      <c r="E20" s="24">
        <f t="shared" si="0"/>
        <v>1.1519999999999999</v>
      </c>
      <c r="F20" s="156" t="s">
        <v>254</v>
      </c>
      <c r="G20" s="3" t="s">
        <v>15</v>
      </c>
      <c r="I20" s="43"/>
      <c r="J20" s="43" t="s">
        <v>246</v>
      </c>
      <c r="K20" s="43" t="s">
        <v>248</v>
      </c>
      <c r="L20" s="43" t="s">
        <v>250</v>
      </c>
    </row>
    <row r="21" spans="1:17" x14ac:dyDescent="0.3">
      <c r="A21" s="190" t="s">
        <v>250</v>
      </c>
      <c r="B21" s="3" t="s">
        <v>697</v>
      </c>
      <c r="C21" s="122">
        <v>1135</v>
      </c>
      <c r="D21" s="24">
        <f t="shared" si="0"/>
        <v>338.23</v>
      </c>
      <c r="E21" s="24">
        <f t="shared" si="0"/>
        <v>328.01499999999999</v>
      </c>
      <c r="F21" s="156" t="s">
        <v>254</v>
      </c>
      <c r="G21" s="3" t="s">
        <v>15</v>
      </c>
      <c r="I21" s="13" t="s">
        <v>215</v>
      </c>
      <c r="J21" s="6">
        <v>1</v>
      </c>
      <c r="K21" s="6">
        <v>25</v>
      </c>
      <c r="L21" s="6">
        <v>298</v>
      </c>
    </row>
    <row r="22" spans="1:17" x14ac:dyDescent="0.3">
      <c r="A22" s="192" t="s">
        <v>250</v>
      </c>
      <c r="B22" s="160" t="s">
        <v>273</v>
      </c>
      <c r="C22" s="160">
        <v>1</v>
      </c>
      <c r="D22" s="161">
        <f t="shared" si="0"/>
        <v>0.29799999999999999</v>
      </c>
      <c r="E22" s="161">
        <f t="shared" si="0"/>
        <v>0.28899999999999998</v>
      </c>
      <c r="F22" s="162" t="s">
        <v>254</v>
      </c>
      <c r="G22" s="3" t="s">
        <v>15</v>
      </c>
      <c r="I22" s="13" t="s">
        <v>216</v>
      </c>
      <c r="J22" s="6">
        <v>1</v>
      </c>
      <c r="K22" s="6">
        <v>72</v>
      </c>
      <c r="L22" s="6">
        <v>289</v>
      </c>
    </row>
    <row r="23" spans="1:17" x14ac:dyDescent="0.3">
      <c r="D23" s="163">
        <f>SUM(D17:D22)</f>
        <v>359.99800000000005</v>
      </c>
      <c r="E23" s="163">
        <f>SUM(E17:E22)</f>
        <v>375.577</v>
      </c>
      <c r="F23" s="4" t="s">
        <v>217</v>
      </c>
      <c r="I23" s="155"/>
      <c r="K23" s="24"/>
      <c r="L23" s="24"/>
      <c r="O23" s="23"/>
    </row>
    <row r="24" spans="1:17" x14ac:dyDescent="0.3">
      <c r="I24" s="155"/>
      <c r="K24" s="24"/>
      <c r="L24" s="24"/>
    </row>
    <row r="25" spans="1:17" x14ac:dyDescent="0.3">
      <c r="A25" s="4" t="s">
        <v>274</v>
      </c>
      <c r="C25" s="3" t="s">
        <v>261</v>
      </c>
      <c r="D25" s="3" t="s">
        <v>217</v>
      </c>
      <c r="E25" s="3" t="s">
        <v>217</v>
      </c>
      <c r="I25" s="155"/>
      <c r="K25" s="24"/>
      <c r="L25" s="24"/>
    </row>
    <row r="26" spans="1:17" x14ac:dyDescent="0.3">
      <c r="A26" s="152" t="s">
        <v>264</v>
      </c>
      <c r="B26" s="153" t="s">
        <v>13</v>
      </c>
      <c r="C26" s="153" t="s">
        <v>69</v>
      </c>
      <c r="D26" s="153" t="s">
        <v>215</v>
      </c>
      <c r="E26" s="153" t="s">
        <v>216</v>
      </c>
      <c r="F26" s="154" t="s">
        <v>13</v>
      </c>
      <c r="I26" s="155"/>
      <c r="K26" s="24"/>
      <c r="L26" s="24"/>
    </row>
    <row r="27" spans="1:17" x14ac:dyDescent="0.3">
      <c r="A27" s="190" t="s">
        <v>248</v>
      </c>
      <c r="B27" s="3" t="s">
        <v>698</v>
      </c>
      <c r="C27" s="122">
        <v>7103</v>
      </c>
      <c r="D27" s="24">
        <f t="shared" ref="D27:E29" si="1">$C27*INDEX($J$21:$L$22,MATCH(D$26,$I$21:$I$22,0),MATCH($A27,$J$20:$L$20,0))/10^3</f>
        <v>177.57499999999999</v>
      </c>
      <c r="E27" s="24">
        <f t="shared" si="1"/>
        <v>511.416</v>
      </c>
      <c r="F27" s="156" t="s">
        <v>254</v>
      </c>
      <c r="G27" s="3" t="s">
        <v>15</v>
      </c>
      <c r="I27" s="155"/>
      <c r="K27" s="24"/>
      <c r="L27" s="24"/>
    </row>
    <row r="28" spans="1:17" x14ac:dyDescent="0.3">
      <c r="A28" s="190" t="s">
        <v>248</v>
      </c>
      <c r="B28" s="3" t="s">
        <v>275</v>
      </c>
      <c r="C28" s="122">
        <v>2467</v>
      </c>
      <c r="D28" s="24">
        <f t="shared" si="1"/>
        <v>61.674999999999997</v>
      </c>
      <c r="E28" s="24">
        <f t="shared" si="1"/>
        <v>177.624</v>
      </c>
      <c r="F28" s="156" t="s">
        <v>254</v>
      </c>
      <c r="G28" s="3" t="s">
        <v>15</v>
      </c>
      <c r="I28" s="155"/>
      <c r="K28" s="24"/>
      <c r="L28" s="24"/>
    </row>
    <row r="29" spans="1:17" x14ac:dyDescent="0.3">
      <c r="A29" s="192" t="s">
        <v>250</v>
      </c>
      <c r="B29" s="160" t="s">
        <v>275</v>
      </c>
      <c r="C29" s="193">
        <v>65</v>
      </c>
      <c r="D29" s="161">
        <f t="shared" si="1"/>
        <v>19.37</v>
      </c>
      <c r="E29" s="161">
        <f t="shared" si="1"/>
        <v>18.785</v>
      </c>
      <c r="F29" s="162" t="s">
        <v>254</v>
      </c>
      <c r="G29" s="3" t="s">
        <v>15</v>
      </c>
      <c r="I29" s="155"/>
      <c r="K29" s="23"/>
      <c r="L29" s="23"/>
      <c r="O29" s="23"/>
    </row>
    <row r="30" spans="1:17" x14ac:dyDescent="0.3">
      <c r="B30" s="194"/>
      <c r="C30" s="122"/>
      <c r="D30" s="163">
        <f>SUM(D27:D29)</f>
        <v>258.62</v>
      </c>
      <c r="E30" s="163">
        <f>SUM(E27:E29)</f>
        <v>707.82499999999993</v>
      </c>
      <c r="F30" s="4" t="s">
        <v>217</v>
      </c>
      <c r="I30" s="155"/>
      <c r="K30" s="23"/>
      <c r="L30" s="23"/>
      <c r="O30" s="23"/>
    </row>
    <row r="31" spans="1:17" x14ac:dyDescent="0.3">
      <c r="B31" s="194"/>
      <c r="C31" s="122"/>
      <c r="D31" s="163"/>
      <c r="E31" s="163"/>
      <c r="I31" s="155"/>
      <c r="K31" s="23"/>
      <c r="L31" s="23"/>
      <c r="O31" s="23"/>
    </row>
    <row r="32" spans="1:17" x14ac:dyDescent="0.3">
      <c r="A32" s="4" t="s">
        <v>276</v>
      </c>
      <c r="I32" s="155"/>
      <c r="J32" s="23"/>
      <c r="K32" s="23"/>
      <c r="L32" s="23"/>
      <c r="O32" s="23"/>
    </row>
    <row r="33" spans="1:15" ht="14" customHeight="1" x14ac:dyDescent="0.3">
      <c r="A33" s="152" t="s">
        <v>42</v>
      </c>
      <c r="B33" s="153" t="s">
        <v>13</v>
      </c>
      <c r="C33" s="153" t="s">
        <v>69</v>
      </c>
      <c r="D33" s="154" t="s">
        <v>13</v>
      </c>
      <c r="F33" s="463" t="s">
        <v>699</v>
      </c>
      <c r="G33" s="463"/>
      <c r="H33" s="195"/>
      <c r="I33" s="196"/>
      <c r="J33" s="23"/>
      <c r="K33" s="23"/>
      <c r="L33" s="23"/>
      <c r="O33" s="23"/>
    </row>
    <row r="34" spans="1:15" x14ac:dyDescent="0.3">
      <c r="A34" s="177" t="s">
        <v>217</v>
      </c>
      <c r="B34" s="3" t="s">
        <v>277</v>
      </c>
      <c r="C34" s="3">
        <v>-16.600000000000001</v>
      </c>
      <c r="D34" s="156" t="s">
        <v>254</v>
      </c>
      <c r="E34" s="14" t="s">
        <v>15</v>
      </c>
      <c r="F34" s="463"/>
      <c r="G34" s="463"/>
      <c r="H34" s="195"/>
      <c r="I34" s="196"/>
      <c r="J34" s="23"/>
      <c r="K34" s="23"/>
      <c r="L34" s="23"/>
      <c r="O34" s="23"/>
    </row>
    <row r="35" spans="1:15" x14ac:dyDescent="0.3">
      <c r="A35" s="177" t="s">
        <v>217</v>
      </c>
      <c r="B35" s="3" t="s">
        <v>278</v>
      </c>
      <c r="C35" s="3">
        <v>55.3</v>
      </c>
      <c r="D35" s="156" t="s">
        <v>254</v>
      </c>
      <c r="E35" s="14" t="s">
        <v>15</v>
      </c>
      <c r="F35" s="463"/>
      <c r="G35" s="463"/>
      <c r="H35" s="195"/>
      <c r="I35" s="196"/>
      <c r="J35" s="23"/>
      <c r="K35" s="23"/>
      <c r="L35" s="23"/>
      <c r="O35" s="23"/>
    </row>
    <row r="36" spans="1:15" x14ac:dyDescent="0.3">
      <c r="A36" s="177" t="s">
        <v>217</v>
      </c>
      <c r="B36" s="3" t="s">
        <v>279</v>
      </c>
      <c r="C36" s="3">
        <v>11.2</v>
      </c>
      <c r="D36" s="156" t="s">
        <v>254</v>
      </c>
      <c r="E36" s="14" t="s">
        <v>15</v>
      </c>
      <c r="F36" s="463"/>
      <c r="G36" s="463"/>
      <c r="H36" s="195"/>
      <c r="I36" s="196"/>
      <c r="J36" s="23"/>
      <c r="K36" s="23"/>
      <c r="L36" s="23"/>
      <c r="O36" s="23"/>
    </row>
    <row r="37" spans="1:15" x14ac:dyDescent="0.3">
      <c r="A37" s="173" t="s">
        <v>217</v>
      </c>
      <c r="B37" s="160" t="s">
        <v>280</v>
      </c>
      <c r="C37" s="160">
        <v>-24.6</v>
      </c>
      <c r="D37" s="162" t="s">
        <v>254</v>
      </c>
      <c r="E37" s="14" t="s">
        <v>15</v>
      </c>
      <c r="F37" s="463"/>
      <c r="G37" s="463"/>
      <c r="H37" s="195"/>
      <c r="I37" s="196"/>
      <c r="J37" s="23"/>
      <c r="K37" s="23"/>
      <c r="L37" s="23"/>
      <c r="O37" s="23"/>
    </row>
    <row r="38" spans="1:15" x14ac:dyDescent="0.3">
      <c r="A38" s="4"/>
      <c r="B38" s="4"/>
      <c r="C38" s="4">
        <f>SUM(C34:C37)</f>
        <v>25.29999999999999</v>
      </c>
      <c r="D38" s="4" t="s">
        <v>217</v>
      </c>
      <c r="E38" s="14"/>
      <c r="I38" s="155"/>
      <c r="K38" s="197"/>
      <c r="L38" s="197"/>
    </row>
    <row r="39" spans="1:15" x14ac:dyDescent="0.3">
      <c r="A39" s="4"/>
      <c r="B39" s="4"/>
      <c r="C39" s="4"/>
      <c r="D39" s="4"/>
      <c r="E39" s="198"/>
      <c r="I39" s="155"/>
      <c r="J39" s="197"/>
      <c r="K39" s="197"/>
      <c r="L39" s="197"/>
    </row>
    <row r="40" spans="1:15" x14ac:dyDescent="0.3">
      <c r="A40" s="4" t="s">
        <v>281</v>
      </c>
      <c r="G40" s="3" t="s">
        <v>15</v>
      </c>
      <c r="I40" s="155"/>
    </row>
    <row r="41" spans="1:15" x14ac:dyDescent="0.3">
      <c r="A41" s="152" t="s">
        <v>42</v>
      </c>
      <c r="B41" s="153" t="s">
        <v>13</v>
      </c>
      <c r="C41" s="153" t="s">
        <v>69</v>
      </c>
      <c r="D41" s="154" t="s">
        <v>13</v>
      </c>
      <c r="E41" s="4"/>
      <c r="I41" s="155"/>
      <c r="J41" s="14"/>
    </row>
    <row r="42" spans="1:15" x14ac:dyDescent="0.3">
      <c r="A42" s="173" t="s">
        <v>217</v>
      </c>
      <c r="B42" s="160" t="s">
        <v>282</v>
      </c>
      <c r="C42" s="199">
        <v>40.054810311299995</v>
      </c>
      <c r="D42" s="174" t="s">
        <v>283</v>
      </c>
      <c r="E42" s="200" t="s">
        <v>15</v>
      </c>
      <c r="I42" s="155"/>
      <c r="J42" s="14"/>
    </row>
    <row r="43" spans="1:15" x14ac:dyDescent="0.3">
      <c r="C43" s="200"/>
      <c r="D43" s="200"/>
      <c r="E43" s="200"/>
      <c r="F43" s="200"/>
      <c r="I43" s="155"/>
      <c r="J43" s="14"/>
    </row>
    <row r="44" spans="1:15" x14ac:dyDescent="0.3">
      <c r="A44" s="4" t="s">
        <v>284</v>
      </c>
      <c r="C44" s="14"/>
      <c r="G44" s="3" t="s">
        <v>15</v>
      </c>
      <c r="I44" s="155"/>
      <c r="J44" s="14"/>
    </row>
    <row r="45" spans="1:15" x14ac:dyDescent="0.3">
      <c r="A45" s="152" t="s">
        <v>42</v>
      </c>
      <c r="B45" s="153" t="s">
        <v>13</v>
      </c>
      <c r="C45" s="153" t="s">
        <v>69</v>
      </c>
      <c r="D45" s="154" t="s">
        <v>13</v>
      </c>
      <c r="E45" s="4"/>
      <c r="I45" s="155"/>
      <c r="J45" s="14"/>
    </row>
    <row r="46" spans="1:15" x14ac:dyDescent="0.3">
      <c r="A46" s="173" t="s">
        <v>217</v>
      </c>
      <c r="B46" s="160" t="s">
        <v>285</v>
      </c>
      <c r="C46" s="201">
        <v>39.699999999999932</v>
      </c>
      <c r="D46" s="174" t="s">
        <v>283</v>
      </c>
      <c r="E46" s="93" t="s">
        <v>286</v>
      </c>
      <c r="I46" s="155"/>
      <c r="J46" s="14"/>
    </row>
    <row r="47" spans="1:15" x14ac:dyDescent="0.3">
      <c r="I47" s="155"/>
      <c r="J47" s="14"/>
    </row>
    <row r="48" spans="1:15" ht="14" customHeight="1" x14ac:dyDescent="0.3">
      <c r="A48" s="4" t="s">
        <v>287</v>
      </c>
      <c r="C48" s="3" t="s">
        <v>261</v>
      </c>
      <c r="D48" s="3" t="s">
        <v>217</v>
      </c>
      <c r="E48" s="3" t="s">
        <v>217</v>
      </c>
      <c r="G48" s="3" t="s">
        <v>15</v>
      </c>
      <c r="I48" s="155"/>
    </row>
    <row r="49" spans="1:13" x14ac:dyDescent="0.3">
      <c r="A49" s="152" t="s">
        <v>264</v>
      </c>
      <c r="B49" s="153" t="s">
        <v>13</v>
      </c>
      <c r="C49" s="153" t="s">
        <v>69</v>
      </c>
      <c r="D49" s="153" t="s">
        <v>215</v>
      </c>
      <c r="E49" s="153" t="s">
        <v>216</v>
      </c>
      <c r="F49" s="154" t="s">
        <v>13</v>
      </c>
      <c r="I49" s="155"/>
      <c r="L49" s="4"/>
    </row>
    <row r="50" spans="1:13" x14ac:dyDescent="0.3">
      <c r="A50" s="155" t="s">
        <v>248</v>
      </c>
      <c r="B50" s="3" t="s">
        <v>288</v>
      </c>
      <c r="C50" s="122">
        <v>4422</v>
      </c>
      <c r="F50" s="156" t="s">
        <v>254</v>
      </c>
      <c r="G50" s="3" t="s">
        <v>15</v>
      </c>
      <c r="I50" s="155"/>
      <c r="L50" s="23"/>
    </row>
    <row r="51" spans="1:13" x14ac:dyDescent="0.3">
      <c r="A51" s="155" t="s">
        <v>255</v>
      </c>
      <c r="B51" s="3" t="s">
        <v>289</v>
      </c>
      <c r="C51" s="16">
        <v>0.24</v>
      </c>
      <c r="D51" s="24"/>
      <c r="E51" s="24"/>
      <c r="F51" s="156" t="s">
        <v>290</v>
      </c>
      <c r="G51" s="3" t="s">
        <v>15</v>
      </c>
      <c r="I51" s="155"/>
      <c r="L51" s="23"/>
    </row>
    <row r="52" spans="1:13" x14ac:dyDescent="0.3">
      <c r="A52" s="159" t="s">
        <v>248</v>
      </c>
      <c r="B52" s="160" t="s">
        <v>17</v>
      </c>
      <c r="C52" s="202">
        <f>C51*C50</f>
        <v>1061.28</v>
      </c>
      <c r="D52" s="160"/>
      <c r="E52" s="160"/>
      <c r="F52" s="178"/>
      <c r="G52" s="3" t="s">
        <v>15</v>
      </c>
      <c r="I52" s="155"/>
      <c r="J52" s="24"/>
      <c r="K52" s="14"/>
      <c r="L52" s="24"/>
    </row>
    <row r="53" spans="1:13" x14ac:dyDescent="0.3">
      <c r="C53" s="16"/>
      <c r="D53" s="163">
        <f>$C52*INDEX($J$21:$L$22,MATCH(D$49,$I$21:$I$22,0),MATCH($A50,$J$20:$L$20,0))/10^3</f>
        <v>26.532</v>
      </c>
      <c r="E53" s="163">
        <f>$C52*INDEX($J$21:$L$22,MATCH(E$49,$I$21:$I$22,0),MATCH($A50,$J$20:$L$20,0))/10^3</f>
        <v>76.41216</v>
      </c>
      <c r="F53" s="4" t="s">
        <v>217</v>
      </c>
      <c r="I53" s="155"/>
      <c r="J53" s="24"/>
      <c r="K53" s="14"/>
      <c r="L53" s="24"/>
    </row>
    <row r="54" spans="1:13" x14ac:dyDescent="0.3">
      <c r="C54" s="16"/>
      <c r="D54" s="163"/>
      <c r="E54" s="163"/>
      <c r="I54" s="155"/>
      <c r="J54" s="24"/>
      <c r="K54" s="14"/>
      <c r="L54" s="24"/>
    </row>
    <row r="55" spans="1:13" x14ac:dyDescent="0.3">
      <c r="A55" s="4" t="s">
        <v>291</v>
      </c>
      <c r="C55" s="3" t="s">
        <v>261</v>
      </c>
      <c r="D55" s="3" t="s">
        <v>217</v>
      </c>
      <c r="E55" s="3" t="s">
        <v>217</v>
      </c>
      <c r="I55" s="155"/>
    </row>
    <row r="56" spans="1:13" x14ac:dyDescent="0.3">
      <c r="A56" s="152" t="s">
        <v>264</v>
      </c>
      <c r="B56" s="153" t="s">
        <v>13</v>
      </c>
      <c r="C56" s="153" t="s">
        <v>69</v>
      </c>
      <c r="D56" s="153" t="s">
        <v>215</v>
      </c>
      <c r="E56" s="153" t="s">
        <v>216</v>
      </c>
      <c r="F56" s="154" t="s">
        <v>13</v>
      </c>
      <c r="I56" s="170" t="s">
        <v>292</v>
      </c>
      <c r="J56" s="171" t="s">
        <v>69</v>
      </c>
      <c r="K56" s="171" t="s">
        <v>42</v>
      </c>
      <c r="L56" s="172" t="s">
        <v>13</v>
      </c>
    </row>
    <row r="57" spans="1:13" x14ac:dyDescent="0.3">
      <c r="A57" s="155" t="s">
        <v>248</v>
      </c>
      <c r="B57" s="3" t="s">
        <v>288</v>
      </c>
      <c r="C57" s="122">
        <v>4422</v>
      </c>
      <c r="F57" s="156"/>
      <c r="I57" s="155" t="s">
        <v>293</v>
      </c>
      <c r="J57" s="3">
        <v>37</v>
      </c>
      <c r="K57" s="3" t="s">
        <v>294</v>
      </c>
      <c r="L57" s="175" t="s">
        <v>295</v>
      </c>
      <c r="M57" s="3" t="s">
        <v>15</v>
      </c>
    </row>
    <row r="58" spans="1:13" x14ac:dyDescent="0.3">
      <c r="A58" s="155" t="s">
        <v>255</v>
      </c>
      <c r="B58" s="3" t="s">
        <v>296</v>
      </c>
      <c r="C58" s="22">
        <v>0.185</v>
      </c>
      <c r="D58" s="24"/>
      <c r="E58" s="24"/>
      <c r="F58" s="175" t="s">
        <v>297</v>
      </c>
      <c r="G58" s="3" t="s">
        <v>298</v>
      </c>
      <c r="I58" s="155" t="s">
        <v>299</v>
      </c>
      <c r="J58" s="3">
        <v>16</v>
      </c>
      <c r="K58" s="3" t="s">
        <v>294</v>
      </c>
      <c r="L58" s="175" t="s">
        <v>295</v>
      </c>
      <c r="M58" s="3" t="s">
        <v>15</v>
      </c>
    </row>
    <row r="59" spans="1:13" x14ac:dyDescent="0.3">
      <c r="A59" s="155" t="s">
        <v>255</v>
      </c>
      <c r="B59" s="3" t="s">
        <v>300</v>
      </c>
      <c r="C59" s="16">
        <f>J59</f>
        <v>0.43243243243243246</v>
      </c>
      <c r="D59" s="24"/>
      <c r="E59" s="24"/>
      <c r="F59" s="175" t="s">
        <v>295</v>
      </c>
      <c r="G59" s="3" t="s">
        <v>15</v>
      </c>
      <c r="I59" s="159" t="s">
        <v>301</v>
      </c>
      <c r="J59" s="179">
        <f>J58/J57</f>
        <v>0.43243243243243246</v>
      </c>
      <c r="K59" s="203"/>
      <c r="L59" s="162"/>
    </row>
    <row r="60" spans="1:13" x14ac:dyDescent="0.3">
      <c r="A60" s="159" t="s">
        <v>248</v>
      </c>
      <c r="B60" s="160" t="s">
        <v>17</v>
      </c>
      <c r="C60" s="202">
        <f>C57*C58*C59</f>
        <v>353.76</v>
      </c>
      <c r="D60" s="160"/>
      <c r="E60" s="160"/>
      <c r="F60" s="178"/>
      <c r="I60" s="155"/>
      <c r="J60" s="24"/>
      <c r="K60" s="14"/>
      <c r="L60" s="24"/>
    </row>
    <row r="61" spans="1:13" x14ac:dyDescent="0.3">
      <c r="C61" s="16"/>
      <c r="D61" s="163">
        <f>$C60*INDEX($J$21:$L$22,MATCH(D$49,$I$21:$I$22,0),MATCH($A57,$J$20:$L$20,0))/10^3</f>
        <v>8.8439999999999994</v>
      </c>
      <c r="E61" s="163">
        <f>$C60*INDEX($J$21:$L$22,MATCH(E$49,$I$21:$I$22,0),MATCH($A57,$J$20:$L$20,0))/10^3</f>
        <v>25.47072</v>
      </c>
      <c r="F61" s="4" t="s">
        <v>217</v>
      </c>
      <c r="I61" s="155"/>
    </row>
    <row r="62" spans="1:13" x14ac:dyDescent="0.3">
      <c r="C62" s="16"/>
      <c r="D62" s="163"/>
      <c r="E62" s="163"/>
      <c r="I62" s="155"/>
    </row>
    <row r="63" spans="1:13" x14ac:dyDescent="0.3">
      <c r="A63" s="4" t="s">
        <v>214</v>
      </c>
      <c r="F63" s="4" t="s">
        <v>302</v>
      </c>
      <c r="I63" s="155"/>
    </row>
    <row r="64" spans="1:13" x14ac:dyDescent="0.3">
      <c r="A64" s="152" t="s">
        <v>42</v>
      </c>
      <c r="B64" s="153" t="s">
        <v>13</v>
      </c>
      <c r="C64" s="153" t="s">
        <v>215</v>
      </c>
      <c r="D64" s="154" t="s">
        <v>216</v>
      </c>
      <c r="E64" s="4"/>
      <c r="F64" s="152" t="s">
        <v>215</v>
      </c>
      <c r="G64" s="154" t="s">
        <v>216</v>
      </c>
      <c r="H64" s="24"/>
      <c r="I64" s="155"/>
    </row>
    <row r="65" spans="1:12" x14ac:dyDescent="0.3">
      <c r="A65" s="155" t="s">
        <v>217</v>
      </c>
      <c r="B65" s="3" t="s">
        <v>218</v>
      </c>
      <c r="C65" s="24">
        <f>$C$7</f>
        <v>69.840497618000001</v>
      </c>
      <c r="D65" s="156">
        <f>$C$7</f>
        <v>69.840497618000001</v>
      </c>
      <c r="E65" s="24"/>
      <c r="F65" s="204">
        <f t="shared" ref="F65:G78" si="2">(C65*$C$80)/10^3</f>
        <v>12.101218295438416</v>
      </c>
      <c r="G65" s="156">
        <f t="shared" si="2"/>
        <v>12.101218295438416</v>
      </c>
      <c r="H65" s="24"/>
      <c r="I65" s="155" t="s">
        <v>303</v>
      </c>
    </row>
    <row r="66" spans="1:12" x14ac:dyDescent="0.3">
      <c r="A66" s="155" t="s">
        <v>217</v>
      </c>
      <c r="B66" s="3" t="s">
        <v>219</v>
      </c>
      <c r="C66" s="24">
        <f>$C$13</f>
        <v>0.9</v>
      </c>
      <c r="D66" s="156">
        <f>$C$13</f>
        <v>0.9</v>
      </c>
      <c r="E66" s="24"/>
      <c r="F66" s="204">
        <f t="shared" si="2"/>
        <v>0.15594242362739999</v>
      </c>
      <c r="G66" s="156">
        <f t="shared" si="2"/>
        <v>0.15594242362739999</v>
      </c>
      <c r="H66" s="24"/>
      <c r="I66" s="170" t="s">
        <v>13</v>
      </c>
      <c r="J66" s="171" t="s">
        <v>215</v>
      </c>
      <c r="K66" s="171" t="s">
        <v>216</v>
      </c>
      <c r="L66" s="172" t="s">
        <v>42</v>
      </c>
    </row>
    <row r="67" spans="1:12" x14ac:dyDescent="0.3">
      <c r="A67" s="155" t="s">
        <v>217</v>
      </c>
      <c r="B67" s="3" t="s">
        <v>220</v>
      </c>
      <c r="C67" s="24">
        <f>D23</f>
        <v>359.99800000000005</v>
      </c>
      <c r="D67" s="156">
        <f>E23</f>
        <v>375.577</v>
      </c>
      <c r="E67" s="24"/>
      <c r="F67" s="204">
        <f t="shared" si="2"/>
        <v>62.376622912240826</v>
      </c>
      <c r="G67" s="156">
        <f t="shared" si="2"/>
        <v>65.075986265231109</v>
      </c>
      <c r="H67" s="24"/>
      <c r="I67" s="155" t="str">
        <f>B67</f>
        <v>Crop cultivation</v>
      </c>
      <c r="J67" s="24">
        <f>F67</f>
        <v>62.376622912240826</v>
      </c>
      <c r="K67" s="24">
        <f>G67</f>
        <v>65.075986265231109</v>
      </c>
      <c r="L67" s="175" t="s">
        <v>302</v>
      </c>
    </row>
    <row r="68" spans="1:12" x14ac:dyDescent="0.3">
      <c r="A68" s="155" t="s">
        <v>217</v>
      </c>
      <c r="B68" s="3" t="s">
        <v>221</v>
      </c>
      <c r="C68" s="24">
        <f>D30</f>
        <v>258.62</v>
      </c>
      <c r="D68" s="156">
        <f>E30</f>
        <v>707.82499999999993</v>
      </c>
      <c r="E68" s="24"/>
      <c r="F68" s="204">
        <f t="shared" si="2"/>
        <v>44.810921776131309</v>
      </c>
      <c r="G68" s="156">
        <f t="shared" si="2"/>
        <v>122.64438444896042</v>
      </c>
      <c r="H68" s="24"/>
      <c r="I68" s="155" t="s">
        <v>221</v>
      </c>
      <c r="J68" s="24">
        <f>F68</f>
        <v>44.810921776131309</v>
      </c>
      <c r="K68" s="24">
        <f>G68</f>
        <v>122.64438444896042</v>
      </c>
      <c r="L68" s="175" t="s">
        <v>302</v>
      </c>
    </row>
    <row r="69" spans="1:12" x14ac:dyDescent="0.3">
      <c r="A69" s="155" t="s">
        <v>217</v>
      </c>
      <c r="B69" s="3" t="s">
        <v>222</v>
      </c>
      <c r="C69" s="24">
        <f>$C$38</f>
        <v>25.29999999999999</v>
      </c>
      <c r="D69" s="156">
        <f>$C$38</f>
        <v>25.29999999999999</v>
      </c>
      <c r="E69" s="24"/>
      <c r="F69" s="204">
        <f t="shared" si="2"/>
        <v>4.3837147975257977</v>
      </c>
      <c r="G69" s="156">
        <f t="shared" si="2"/>
        <v>4.3837147975257977</v>
      </c>
      <c r="H69" s="24"/>
      <c r="I69" s="155" t="s">
        <v>304</v>
      </c>
      <c r="J69" s="24">
        <f>F73+F77</f>
        <v>11.637422333775017</v>
      </c>
      <c r="K69" s="24">
        <f>G73+G77</f>
        <v>14.518323460190754</v>
      </c>
      <c r="L69" s="175" t="s">
        <v>302</v>
      </c>
    </row>
    <row r="70" spans="1:12" x14ac:dyDescent="0.3">
      <c r="A70" s="155" t="s">
        <v>217</v>
      </c>
      <c r="B70" s="3" t="s">
        <v>223</v>
      </c>
      <c r="C70" s="24">
        <f>$C$42</f>
        <v>40.054810311299995</v>
      </c>
      <c r="D70" s="156">
        <f>$C$42</f>
        <v>40.054810311299995</v>
      </c>
      <c r="E70" s="24"/>
      <c r="F70" s="204">
        <f t="shared" si="2"/>
        <v>6.9402713309776587</v>
      </c>
      <c r="G70" s="156">
        <f t="shared" si="2"/>
        <v>6.9402713309776587</v>
      </c>
      <c r="H70" s="24"/>
      <c r="I70" s="159" t="s">
        <v>305</v>
      </c>
      <c r="J70" s="205">
        <f>F78-J68-J67-J69</f>
        <v>103.73703250923225</v>
      </c>
      <c r="K70" s="205">
        <f>G78-K68-K67-K69</f>
        <v>112.37973588847954</v>
      </c>
      <c r="L70" s="178" t="s">
        <v>302</v>
      </c>
    </row>
    <row r="71" spans="1:12" x14ac:dyDescent="0.3">
      <c r="A71" s="155" t="s">
        <v>217</v>
      </c>
      <c r="B71" s="3" t="s">
        <v>224</v>
      </c>
      <c r="C71" s="24">
        <f>$C$46</f>
        <v>39.699999999999932</v>
      </c>
      <c r="D71" s="156">
        <f>$C$46</f>
        <v>39.699999999999932</v>
      </c>
      <c r="E71" s="24"/>
      <c r="F71" s="204">
        <f t="shared" si="2"/>
        <v>6.8787935755641874</v>
      </c>
      <c r="G71" s="156">
        <f t="shared" si="2"/>
        <v>6.8787935755641874</v>
      </c>
      <c r="H71" s="24"/>
      <c r="I71" s="206"/>
      <c r="L71" s="24"/>
    </row>
    <row r="72" spans="1:12" x14ac:dyDescent="0.3">
      <c r="A72" s="155" t="s">
        <v>217</v>
      </c>
      <c r="B72" s="93" t="s">
        <v>225</v>
      </c>
      <c r="C72" s="157">
        <v>88.462477402759077</v>
      </c>
      <c r="D72" s="158">
        <f>C72</f>
        <v>88.462477402759077</v>
      </c>
      <c r="E72" s="207"/>
      <c r="F72" s="204">
        <f t="shared" si="2"/>
        <v>15.32783680696706</v>
      </c>
      <c r="G72" s="156">
        <f t="shared" si="2"/>
        <v>15.32783680696706</v>
      </c>
      <c r="H72" s="24"/>
      <c r="I72" s="170" t="s">
        <v>13</v>
      </c>
      <c r="J72" s="171" t="s">
        <v>215</v>
      </c>
      <c r="K72" s="171" t="s">
        <v>216</v>
      </c>
      <c r="L72" s="172" t="s">
        <v>42</v>
      </c>
    </row>
    <row r="73" spans="1:12" x14ac:dyDescent="0.3">
      <c r="A73" s="155" t="s">
        <v>217</v>
      </c>
      <c r="B73" s="93" t="s">
        <v>226</v>
      </c>
      <c r="C73" s="157">
        <v>58.319763758236405</v>
      </c>
      <c r="D73" s="158">
        <f>C73</f>
        <v>58.319763758236405</v>
      </c>
      <c r="E73" s="207"/>
      <c r="F73" s="204">
        <f t="shared" si="2"/>
        <v>10.105028117596433</v>
      </c>
      <c r="G73" s="156">
        <f t="shared" si="2"/>
        <v>10.105028117596433</v>
      </c>
      <c r="H73" s="24"/>
      <c r="I73" s="208" t="s">
        <v>306</v>
      </c>
      <c r="J73" s="24">
        <f>C72+C74+C75</f>
        <v>396.3765411360842</v>
      </c>
      <c r="K73" s="24">
        <f>D72+D74+D75</f>
        <v>396.3765411360842</v>
      </c>
      <c r="L73" s="156" t="s">
        <v>217</v>
      </c>
    </row>
    <row r="74" spans="1:12" x14ac:dyDescent="0.3">
      <c r="A74" s="155" t="s">
        <v>217</v>
      </c>
      <c r="B74" s="93" t="s">
        <v>227</v>
      </c>
      <c r="C74" s="157">
        <v>211.47538032017209</v>
      </c>
      <c r="D74" s="158">
        <f>C74</f>
        <v>211.47538032017209</v>
      </c>
      <c r="E74" s="207"/>
      <c r="F74" s="204">
        <f t="shared" si="2"/>
        <v>36.642203716282005</v>
      </c>
      <c r="G74" s="156">
        <f t="shared" si="2"/>
        <v>36.642203716282005</v>
      </c>
      <c r="H74" s="24"/>
      <c r="I74" s="209" t="s">
        <v>306</v>
      </c>
      <c r="J74" s="161">
        <f>F72+F74+F75</f>
        <v>68.679909437563083</v>
      </c>
      <c r="K74" s="161">
        <f>G72+G74+G75</f>
        <v>68.679909437563083</v>
      </c>
      <c r="L74" s="162" t="s">
        <v>302</v>
      </c>
    </row>
    <row r="75" spans="1:12" x14ac:dyDescent="0.3">
      <c r="A75" s="155" t="s">
        <v>217</v>
      </c>
      <c r="B75" s="93" t="s">
        <v>228</v>
      </c>
      <c r="C75" s="157">
        <v>96.438683413153015</v>
      </c>
      <c r="D75" s="158">
        <f>C75</f>
        <v>96.438683413153015</v>
      </c>
      <c r="E75" s="207"/>
      <c r="F75" s="204">
        <f t="shared" si="2"/>
        <v>16.709868914314022</v>
      </c>
      <c r="G75" s="156">
        <f t="shared" si="2"/>
        <v>16.709868914314022</v>
      </c>
      <c r="H75" s="24"/>
      <c r="I75" s="206"/>
      <c r="L75" s="24"/>
    </row>
    <row r="76" spans="1:12" x14ac:dyDescent="0.3">
      <c r="A76" s="155" t="s">
        <v>217</v>
      </c>
      <c r="B76" s="3" t="s">
        <v>229</v>
      </c>
      <c r="C76" s="24">
        <f>D53</f>
        <v>26.532</v>
      </c>
      <c r="D76" s="156">
        <f>E53</f>
        <v>76.41216</v>
      </c>
      <c r="E76" s="24"/>
      <c r="F76" s="204">
        <f t="shared" si="2"/>
        <v>4.5971826485357514</v>
      </c>
      <c r="G76" s="156">
        <f t="shared" si="2"/>
        <v>13.239886027782964</v>
      </c>
      <c r="H76" s="24"/>
      <c r="I76" s="206"/>
      <c r="L76" s="24"/>
    </row>
    <row r="77" spans="1:12" x14ac:dyDescent="0.3">
      <c r="A77" s="159" t="s">
        <v>217</v>
      </c>
      <c r="B77" s="160" t="s">
        <v>230</v>
      </c>
      <c r="C77" s="161">
        <f>D61</f>
        <v>8.8439999999999994</v>
      </c>
      <c r="D77" s="162">
        <f>E61</f>
        <v>25.47072</v>
      </c>
      <c r="E77" s="24"/>
      <c r="F77" s="210">
        <f t="shared" si="2"/>
        <v>1.5323942161785837</v>
      </c>
      <c r="G77" s="162">
        <f t="shared" si="2"/>
        <v>4.4132953425943215</v>
      </c>
      <c r="H77" s="24"/>
      <c r="I77" s="206"/>
      <c r="L77" s="24"/>
    </row>
    <row r="78" spans="1:12" x14ac:dyDescent="0.3">
      <c r="A78" s="4" t="s">
        <v>217</v>
      </c>
      <c r="B78" s="4" t="s">
        <v>72</v>
      </c>
      <c r="C78" s="163">
        <f>SUM(C65:C77)</f>
        <v>1284.4856128236204</v>
      </c>
      <c r="D78" s="163">
        <f>SUM(D65:D77)</f>
        <v>1815.7764928236204</v>
      </c>
      <c r="E78" s="163"/>
      <c r="F78" s="163">
        <f t="shared" si="2"/>
        <v>222.56199953137943</v>
      </c>
      <c r="G78" s="163">
        <f t="shared" si="2"/>
        <v>314.61843006286182</v>
      </c>
      <c r="H78" s="163"/>
      <c r="I78" s="206"/>
      <c r="L78" s="163"/>
    </row>
    <row r="79" spans="1:12" x14ac:dyDescent="0.3">
      <c r="I79" s="155"/>
      <c r="J79" s="24"/>
      <c r="K79" s="24"/>
    </row>
    <row r="80" spans="1:12" x14ac:dyDescent="0.3">
      <c r="A80" s="3" t="s">
        <v>307</v>
      </c>
      <c r="C80" s="24">
        <v>173.26935958599998</v>
      </c>
      <c r="I80" s="155"/>
    </row>
    <row r="81" spans="1:11" x14ac:dyDescent="0.3">
      <c r="I81" s="155"/>
    </row>
    <row r="82" spans="1:11" x14ac:dyDescent="0.3">
      <c r="A82" s="4" t="s">
        <v>308</v>
      </c>
      <c r="C82" s="163">
        <f>F73+F77</f>
        <v>11.637422333775017</v>
      </c>
      <c r="D82" s="163">
        <f>G73+G77</f>
        <v>14.518323460190754</v>
      </c>
      <c r="E82" s="4" t="s">
        <v>302</v>
      </c>
      <c r="F82" s="22">
        <f>(D82-C82)/C82</f>
        <v>0.24755491755717798</v>
      </c>
      <c r="I82" s="155"/>
      <c r="K82" s="24"/>
    </row>
    <row r="83" spans="1:11" x14ac:dyDescent="0.3">
      <c r="A83" s="4" t="s">
        <v>309</v>
      </c>
      <c r="C83" s="163">
        <f>SUM(F65:F72)+SUM(F74:F76)</f>
        <v>210.92457719760444</v>
      </c>
      <c r="D83" s="163">
        <f>SUM(G65:G72)+SUM(G74:G76)</f>
        <v>300.10010660267102</v>
      </c>
      <c r="E83" s="4" t="s">
        <v>302</v>
      </c>
      <c r="F83" s="22">
        <f>(D83-C83)/C83</f>
        <v>0.42278396661913226</v>
      </c>
      <c r="I83" s="155"/>
    </row>
    <row r="84" spans="1:11" ht="14.5" thickBot="1" x14ac:dyDescent="0.35">
      <c r="A84" s="211" t="s">
        <v>310</v>
      </c>
      <c r="B84" s="212"/>
      <c r="C84" s="213">
        <f>C78*$C$80/10^3</f>
        <v>222.56199953137943</v>
      </c>
      <c r="D84" s="213">
        <f>D78*$C$80/10^3</f>
        <v>314.61843006286182</v>
      </c>
      <c r="E84" s="211" t="s">
        <v>302</v>
      </c>
      <c r="I84" s="155"/>
    </row>
    <row r="85" spans="1:11" ht="14.5" thickTop="1" x14ac:dyDescent="0.3">
      <c r="A85" s="4"/>
      <c r="C85" s="163"/>
      <c r="D85" s="163"/>
      <c r="E85" s="4"/>
    </row>
    <row r="86" spans="1:11" x14ac:dyDescent="0.3">
      <c r="A86" s="4"/>
    </row>
    <row r="87" spans="1:11" x14ac:dyDescent="0.3">
      <c r="A87" s="55"/>
    </row>
    <row r="99" spans="1:1" x14ac:dyDescent="0.3">
      <c r="A99" s="14"/>
    </row>
  </sheetData>
  <mergeCells count="1">
    <mergeCell ref="F33:G37"/>
  </mergeCells>
  <hyperlinks>
    <hyperlink ref="F51" r:id="rId1" location=":~:text=EPA%20estimated%20that%20in%202018,amount%20combusted%20with%20energy%20recovery." xr:uid="{2B674A18-DC65-401D-BC13-6EC2E5F9DBF2}"/>
    <hyperlink ref="F58" r:id="rId2" location=":~:text=In%202018%2C%20landfills%20received%2027,percent%20of%20all%20MSW%20landfilled." xr:uid="{156B5CB5-8A88-468C-912F-D04E645AF532}"/>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115D1-6000-43AD-8A2F-AE04D90FD048}">
  <sheetPr codeName="Sheet2">
    <tabColor theme="4" tint="0.89999084444715716"/>
  </sheetPr>
  <dimension ref="B2:P66"/>
  <sheetViews>
    <sheetView showGridLines="0" zoomScaleNormal="100" workbookViewId="0"/>
  </sheetViews>
  <sheetFormatPr defaultColWidth="8.6640625" defaultRowHeight="14" outlineLevelCol="1" x14ac:dyDescent="0.3"/>
  <cols>
    <col min="1" max="1" width="8.6640625" style="3"/>
    <col min="2" max="2" width="27.9140625" style="3" customWidth="1"/>
    <col min="3" max="3" width="32.6640625" style="3" customWidth="1"/>
    <col min="4" max="4" width="21.33203125" style="3" customWidth="1"/>
    <col min="5" max="5" width="23.6640625" style="3" customWidth="1"/>
    <col min="6" max="6" width="14.1640625" style="3" customWidth="1"/>
    <col min="7" max="7" width="14.4140625" style="3" customWidth="1"/>
    <col min="8" max="8" width="11.83203125" style="3" bestFit="1" customWidth="1"/>
    <col min="9" max="9" width="16.9140625" style="3" customWidth="1"/>
    <col min="10" max="10" width="104.1640625" style="3" bestFit="1" customWidth="1"/>
    <col min="11" max="12" width="8.6640625" style="3"/>
    <col min="13" max="13" width="15.08203125" style="3" customWidth="1" outlineLevel="1"/>
    <col min="14" max="14" width="13.5" style="3" customWidth="1" outlineLevel="1"/>
    <col min="15" max="15" width="15" style="3" customWidth="1" outlineLevel="1"/>
    <col min="16" max="16384" width="8.6640625" style="3"/>
  </cols>
  <sheetData>
    <row r="2" spans="2:10" x14ac:dyDescent="0.3">
      <c r="B2" s="1" t="s">
        <v>125</v>
      </c>
      <c r="C2" s="2"/>
      <c r="D2" s="2"/>
      <c r="E2" s="2"/>
      <c r="F2" s="2"/>
      <c r="G2" s="2"/>
      <c r="H2" s="2"/>
      <c r="I2" s="2"/>
      <c r="J2" s="2"/>
    </row>
    <row r="4" spans="2:10" x14ac:dyDescent="0.3">
      <c r="B4" s="100" t="s">
        <v>132</v>
      </c>
      <c r="C4" s="101"/>
      <c r="D4" s="101"/>
      <c r="E4" s="101"/>
      <c r="F4" s="101"/>
      <c r="G4" s="101"/>
      <c r="H4" s="101"/>
      <c r="I4" s="101"/>
      <c r="J4" s="101"/>
    </row>
    <row r="6" spans="2:10" ht="28" x14ac:dyDescent="0.3">
      <c r="B6" s="112" t="s">
        <v>8</v>
      </c>
      <c r="C6" s="113" t="s">
        <v>144</v>
      </c>
      <c r="D6" s="113" t="s">
        <v>145</v>
      </c>
      <c r="E6" s="112" t="s">
        <v>146</v>
      </c>
    </row>
    <row r="7" spans="2:10" x14ac:dyDescent="0.3">
      <c r="B7" s="96" t="s">
        <v>12</v>
      </c>
      <c r="C7" s="445">
        <f>SUMIFS($F$31:$F$50,$B$31:$B$50,B7)</f>
        <v>2.7337142469985181</v>
      </c>
      <c r="D7" s="445">
        <f>SUMIFS($I$31:$I$50,$B$31:$B$50,B7)</f>
        <v>2.0180067319058841</v>
      </c>
      <c r="E7" s="443">
        <f t="shared" ref="E7:E12" si="0">C7-D7</f>
        <v>0.71570751509263397</v>
      </c>
    </row>
    <row r="8" spans="2:10" x14ac:dyDescent="0.3">
      <c r="B8" s="96" t="s">
        <v>1</v>
      </c>
      <c r="C8" s="445">
        <f>SUMIFS($F$31:$F$50,$B$31:$B$50,B8)</f>
        <v>3.8278117336227853</v>
      </c>
      <c r="D8" s="445">
        <f>SUMIFS($I$31:$I$50,$B$31:$B$50,B8)</f>
        <v>2.303693315127207</v>
      </c>
      <c r="E8" s="443">
        <f t="shared" si="0"/>
        <v>1.5241184184955783</v>
      </c>
    </row>
    <row r="9" spans="2:10" x14ac:dyDescent="0.3">
      <c r="B9" s="96" t="s">
        <v>3</v>
      </c>
      <c r="C9" s="94">
        <f>SUMIFS($F$31:$F$50,$B$31:$B$50,B9)</f>
        <v>1.0539865706319702</v>
      </c>
      <c r="D9" s="94">
        <f>SUMIFS($I$31:$I$50,$B$31:$B$50,B9)</f>
        <v>1.0539865706319702</v>
      </c>
      <c r="E9" s="143">
        <f t="shared" si="0"/>
        <v>0</v>
      </c>
    </row>
    <row r="10" spans="2:10" x14ac:dyDescent="0.3">
      <c r="B10" s="97" t="s">
        <v>4</v>
      </c>
      <c r="C10" s="94">
        <f>SUMIFS($F$31:$F$50,$B$31:$B$50,B10)</f>
        <v>0.16751793680297397</v>
      </c>
      <c r="D10" s="94">
        <f>SUMIFS($I$31:$I$50,$B$31:$B$50,B10)</f>
        <v>0.16751793680297397</v>
      </c>
      <c r="E10" s="143">
        <f t="shared" si="0"/>
        <v>0</v>
      </c>
    </row>
    <row r="11" spans="2:10" x14ac:dyDescent="0.3">
      <c r="B11" s="96" t="s">
        <v>5</v>
      </c>
      <c r="C11" s="94">
        <f>SUMIFS($F$31:$F$41,$B$31:$B$41,B11)+SUMIFS($F$50:$F$52,$B$50:$B52,B11)</f>
        <v>18.66363873724907</v>
      </c>
      <c r="D11" s="94">
        <f>SUMIFS($I$31:$I$41,$B$31:$B$41,B11)+SUMIFS($I$50:$I$52,$B$50:$B$52,B11)</f>
        <v>-0.37976813276495308</v>
      </c>
      <c r="E11" s="143">
        <f t="shared" si="0"/>
        <v>19.043406870014021</v>
      </c>
    </row>
    <row r="12" spans="2:10" x14ac:dyDescent="0.3">
      <c r="B12" s="96" t="s">
        <v>542</v>
      </c>
      <c r="C12" s="94">
        <f>SUMIFS($F$31:$F$41,$B$31:$B$41,B12)+SUMIFS($F$50:$F$52,$B$50:$B52,B12)</f>
        <v>0</v>
      </c>
      <c r="D12" s="272">
        <f>SUMIFS($I$31:$I$41,$B$31:$B$41,B12)+SUMIFS($I$50:$I$57,$B$50:$B$57,B12)</f>
        <v>-67.761655378560278</v>
      </c>
      <c r="E12" s="143">
        <f t="shared" si="0"/>
        <v>67.761655378560278</v>
      </c>
    </row>
    <row r="13" spans="2:10" x14ac:dyDescent="0.3">
      <c r="B13" s="114" t="s">
        <v>98</v>
      </c>
      <c r="C13" s="115">
        <f>SUM(C9:C12)</f>
        <v>19.885143244684013</v>
      </c>
      <c r="D13" s="115">
        <f>SUM(D9:D12)</f>
        <v>-66.919919003890286</v>
      </c>
      <c r="E13" s="116">
        <f>SUM(E9:E12)</f>
        <v>86.805062248574302</v>
      </c>
      <c r="F13" s="92"/>
    </row>
    <row r="14" spans="2:10" customFormat="1" x14ac:dyDescent="0.3"/>
    <row r="15" spans="2:10" customFormat="1" x14ac:dyDescent="0.3"/>
    <row r="16" spans="2:10" x14ac:dyDescent="0.3">
      <c r="B16" s="25" t="s">
        <v>32</v>
      </c>
      <c r="C16" s="26"/>
      <c r="D16" s="26"/>
      <c r="E16" s="26"/>
      <c r="F16" s="26"/>
      <c r="G16" s="26"/>
      <c r="H16" s="26"/>
      <c r="I16" s="26"/>
      <c r="J16" s="26"/>
    </row>
    <row r="17" spans="2:16" x14ac:dyDescent="0.3">
      <c r="B17" s="4" t="s">
        <v>103</v>
      </c>
      <c r="C17" s="320">
        <v>1076</v>
      </c>
      <c r="D17" s="4" t="s">
        <v>16</v>
      </c>
      <c r="E17" s="99"/>
      <c r="G17" s="4"/>
      <c r="H17" s="4"/>
      <c r="I17" s="4"/>
    </row>
    <row r="18" spans="2:16" x14ac:dyDescent="0.3">
      <c r="B18" s="3" t="s">
        <v>105</v>
      </c>
      <c r="C18" s="4"/>
      <c r="D18" s="4"/>
      <c r="G18" s="4"/>
      <c r="H18" s="4"/>
      <c r="I18" s="4"/>
    </row>
    <row r="19" spans="2:16" x14ac:dyDescent="0.3">
      <c r="B19" s="3" t="s">
        <v>107</v>
      </c>
    </row>
    <row r="21" spans="2:16" x14ac:dyDescent="0.3">
      <c r="B21" s="256" t="s">
        <v>35</v>
      </c>
      <c r="C21" s="305">
        <v>18.7</v>
      </c>
      <c r="D21" s="222" t="s">
        <v>16</v>
      </c>
      <c r="I21"/>
      <c r="J21"/>
    </row>
    <row r="22" spans="2:16" x14ac:dyDescent="0.3">
      <c r="B22" s="222" t="s">
        <v>28</v>
      </c>
      <c r="C22" s="295">
        <v>0.45</v>
      </c>
      <c r="D22" s="222" t="s">
        <v>126</v>
      </c>
    </row>
    <row r="23" spans="2:16" x14ac:dyDescent="0.3">
      <c r="B23" s="216" t="s">
        <v>124</v>
      </c>
      <c r="C23" s="296">
        <f>C22*C21</f>
        <v>8.4149999999999991</v>
      </c>
      <c r="D23" s="216" t="s">
        <v>16</v>
      </c>
      <c r="I23"/>
    </row>
    <row r="25" spans="2:16" customFormat="1" x14ac:dyDescent="0.3">
      <c r="M25" s="3"/>
      <c r="N25" s="3"/>
      <c r="O25" s="3"/>
      <c r="P25" s="3"/>
    </row>
    <row r="26" spans="2:16" x14ac:dyDescent="0.3">
      <c r="B26" s="69" t="s">
        <v>114</v>
      </c>
      <c r="C26" s="70"/>
      <c r="D26" s="70"/>
      <c r="E26" s="70"/>
      <c r="F26" s="70"/>
      <c r="G26" s="70"/>
      <c r="H26" s="70"/>
      <c r="I26" s="70"/>
      <c r="J26" s="70"/>
    </row>
    <row r="27" spans="2:16" x14ac:dyDescent="0.3">
      <c r="B27" s="3" t="s">
        <v>122</v>
      </c>
      <c r="C27"/>
      <c r="D27"/>
      <c r="E27"/>
      <c r="F27"/>
      <c r="G27"/>
      <c r="H27"/>
      <c r="I27"/>
      <c r="J27"/>
    </row>
    <row r="28" spans="2:16" x14ac:dyDescent="0.3">
      <c r="B28" s="3" t="s">
        <v>689</v>
      </c>
      <c r="C28"/>
      <c r="D28"/>
      <c r="E28"/>
      <c r="F28"/>
      <c r="G28"/>
      <c r="H28"/>
      <c r="I28"/>
      <c r="J28"/>
      <c r="M28"/>
    </row>
    <row r="29" spans="2:16" x14ac:dyDescent="0.3">
      <c r="C29"/>
      <c r="D29" s="99"/>
      <c r="E29"/>
      <c r="F29"/>
      <c r="G29"/>
      <c r="H29"/>
      <c r="I29"/>
      <c r="J29"/>
      <c r="M29"/>
    </row>
    <row r="30" spans="2:16" ht="42" x14ac:dyDescent="0.3">
      <c r="B30" s="32" t="s">
        <v>8</v>
      </c>
      <c r="C30" s="32" t="s">
        <v>7</v>
      </c>
      <c r="D30" s="60" t="s">
        <v>115</v>
      </c>
      <c r="E30" s="31" t="s">
        <v>26</v>
      </c>
      <c r="F30" s="31" t="s">
        <v>104</v>
      </c>
      <c r="G30" s="31" t="s">
        <v>106</v>
      </c>
      <c r="H30" s="30" t="s">
        <v>31</v>
      </c>
      <c r="I30" s="31" t="s">
        <v>34</v>
      </c>
      <c r="J30" s="30" t="s">
        <v>30</v>
      </c>
      <c r="M30"/>
    </row>
    <row r="31" spans="2:16" x14ac:dyDescent="0.3">
      <c r="B31" s="19" t="s">
        <v>12</v>
      </c>
      <c r="C31" s="5" t="s">
        <v>17</v>
      </c>
      <c r="D31" s="354">
        <v>222.56199953137943</v>
      </c>
      <c r="E31" s="355">
        <f t="shared" ref="E31:E41" si="1">D31/$C$17</f>
        <v>0.20684200699942326</v>
      </c>
      <c r="F31" s="356">
        <f>E31*'Baseline without discounts'!$C$23</f>
        <v>1.7405754889001466</v>
      </c>
      <c r="G31" s="355">
        <f>'L2Production Metrics'!H8</f>
        <v>0.2227027027027027</v>
      </c>
      <c r="H31" s="357">
        <f t="shared" ref="H31:H41" si="2">G31*F31</f>
        <v>0.38763086563614074</v>
      </c>
      <c r="I31" s="357">
        <f t="shared" ref="I31:I41" si="3">F31-H31</f>
        <v>1.3529446232640059</v>
      </c>
      <c r="J31" s="3" t="s">
        <v>712</v>
      </c>
      <c r="M31"/>
    </row>
    <row r="32" spans="2:16" x14ac:dyDescent="0.3">
      <c r="B32" s="19" t="s">
        <v>12</v>
      </c>
      <c r="C32" s="5" t="s">
        <v>18</v>
      </c>
      <c r="D32" s="354">
        <v>60.198680219871868</v>
      </c>
      <c r="E32" s="355">
        <f t="shared" si="1"/>
        <v>5.5946728828877197E-2</v>
      </c>
      <c r="F32" s="356">
        <f>E32*'Baseline without discounts'!$C$23</f>
        <v>0.47079172309500156</v>
      </c>
      <c r="G32" s="355">
        <f>'L2Production Metrics'!H9</f>
        <v>0.22727272727272727</v>
      </c>
      <c r="H32" s="357">
        <f t="shared" si="2"/>
        <v>0.10699811888522762</v>
      </c>
      <c r="I32" s="357">
        <f t="shared" si="3"/>
        <v>0.36379360420977391</v>
      </c>
      <c r="J32" s="3" t="s">
        <v>713</v>
      </c>
      <c r="M32"/>
    </row>
    <row r="33" spans="2:10" x14ac:dyDescent="0.3">
      <c r="B33" s="19" t="s">
        <v>12</v>
      </c>
      <c r="C33" s="5" t="s">
        <v>0</v>
      </c>
      <c r="D33" s="354">
        <v>66.790898355748809</v>
      </c>
      <c r="E33" s="355">
        <f t="shared" si="1"/>
        <v>6.2073325609431976E-2</v>
      </c>
      <c r="F33" s="356">
        <f>E33*'Baseline without discounts'!$C$23</f>
        <v>0.52234703500336999</v>
      </c>
      <c r="G33" s="355">
        <f>'L2Production Metrics'!H14</f>
        <v>0.42324071116789097</v>
      </c>
      <c r="H33" s="357">
        <f t="shared" si="2"/>
        <v>0.22107853057126556</v>
      </c>
      <c r="I33" s="357">
        <f t="shared" si="3"/>
        <v>0.3012685044321044</v>
      </c>
      <c r="J33" s="3" t="s">
        <v>714</v>
      </c>
    </row>
    <row r="34" spans="2:10" x14ac:dyDescent="0.3">
      <c r="B34" s="19" t="s">
        <v>1</v>
      </c>
      <c r="C34" s="5" t="s">
        <v>2</v>
      </c>
      <c r="D34" s="354">
        <v>342.45043676507635</v>
      </c>
      <c r="E34" s="355">
        <f t="shared" si="1"/>
        <v>0.31826248769988508</v>
      </c>
      <c r="F34" s="356">
        <f>E34*'Baseline without discounts'!$C$23</f>
        <v>2.6781788339945325</v>
      </c>
      <c r="G34" s="355">
        <f>'L2Production Metrics'!H14</f>
        <v>0.42324071116789097</v>
      </c>
      <c r="H34" s="357">
        <f t="shared" si="2"/>
        <v>1.1335143143346389</v>
      </c>
      <c r="I34" s="357">
        <f t="shared" si="3"/>
        <v>1.5446645196598936</v>
      </c>
      <c r="J34" s="3" t="s">
        <v>715</v>
      </c>
    </row>
    <row r="35" spans="2:10" x14ac:dyDescent="0.3">
      <c r="B35" s="19" t="s">
        <v>1</v>
      </c>
      <c r="C35" s="5" t="s">
        <v>19</v>
      </c>
      <c r="D35" s="354">
        <v>147</v>
      </c>
      <c r="E35" s="355">
        <f t="shared" si="1"/>
        <v>0.13661710037174721</v>
      </c>
      <c r="F35" s="356">
        <f>E35*'Baseline without discounts'!$C$23</f>
        <v>1.1496328996282525</v>
      </c>
      <c r="G35" s="355">
        <f>'L2Production Metrics'!H13</f>
        <v>0.33976420150053588</v>
      </c>
      <c r="H35" s="357">
        <f t="shared" si="2"/>
        <v>0.39060410416093894</v>
      </c>
      <c r="I35" s="357">
        <f t="shared" si="3"/>
        <v>0.75902879546731361</v>
      </c>
      <c r="J35" s="3" t="s">
        <v>716</v>
      </c>
    </row>
    <row r="36" spans="2:10" x14ac:dyDescent="0.3">
      <c r="B36" s="19" t="s">
        <v>3</v>
      </c>
      <c r="C36" s="221" t="s">
        <v>567</v>
      </c>
      <c r="D36" s="68">
        <v>0.98</v>
      </c>
      <c r="E36" s="22">
        <f t="shared" si="1"/>
        <v>9.1078066914498143E-4</v>
      </c>
      <c r="F36" s="314">
        <f>E36*'Baseline without discounts'!$C$23</f>
        <v>7.6642193308550178E-3</v>
      </c>
      <c r="G36" s="22">
        <v>0</v>
      </c>
      <c r="H36" s="67">
        <f t="shared" si="2"/>
        <v>0</v>
      </c>
      <c r="I36" s="67">
        <f t="shared" si="3"/>
        <v>7.6642193308550178E-3</v>
      </c>
      <c r="J36" s="3" t="s">
        <v>33</v>
      </c>
    </row>
    <row r="37" spans="2:10" x14ac:dyDescent="0.3">
      <c r="B37" s="19" t="s">
        <v>3</v>
      </c>
      <c r="C37" s="5" t="s">
        <v>20</v>
      </c>
      <c r="D37" s="68">
        <v>33.26</v>
      </c>
      <c r="E37" s="22">
        <f t="shared" si="1"/>
        <v>3.0910780669144981E-2</v>
      </c>
      <c r="F37" s="314">
        <f>E37*'Baseline without discounts'!$C$23</f>
        <v>0.26011421933085499</v>
      </c>
      <c r="G37" s="22">
        <v>0</v>
      </c>
      <c r="H37" s="67">
        <f t="shared" si="2"/>
        <v>0</v>
      </c>
      <c r="I37" s="67">
        <f t="shared" si="3"/>
        <v>0.26011421933085499</v>
      </c>
      <c r="J37" s="3" t="s">
        <v>33</v>
      </c>
    </row>
    <row r="38" spans="2:10" x14ac:dyDescent="0.3">
      <c r="B38" s="19" t="s">
        <v>3</v>
      </c>
      <c r="C38" s="5" t="s">
        <v>21</v>
      </c>
      <c r="D38" s="68">
        <v>76.47</v>
      </c>
      <c r="E38" s="22">
        <f t="shared" si="1"/>
        <v>7.1068773234200744E-2</v>
      </c>
      <c r="F38" s="314">
        <f>E38*'Baseline without discounts'!$C$23</f>
        <v>0.5980437267657992</v>
      </c>
      <c r="G38" s="22">
        <v>0</v>
      </c>
      <c r="H38" s="67">
        <f t="shared" si="2"/>
        <v>0</v>
      </c>
      <c r="I38" s="67">
        <f t="shared" si="3"/>
        <v>0.5980437267657992</v>
      </c>
      <c r="J38" s="3" t="s">
        <v>33</v>
      </c>
    </row>
    <row r="39" spans="2:10" x14ac:dyDescent="0.3">
      <c r="B39" s="19" t="s">
        <v>3</v>
      </c>
      <c r="C39" s="5" t="s">
        <v>22</v>
      </c>
      <c r="D39" s="68">
        <v>24.06</v>
      </c>
      <c r="E39" s="22">
        <f t="shared" si="1"/>
        <v>2.2360594795539031E-2</v>
      </c>
      <c r="F39" s="314">
        <f>E39*'Baseline without discounts'!$C$23</f>
        <v>0.18816440520446093</v>
      </c>
      <c r="G39" s="22">
        <v>0</v>
      </c>
      <c r="H39" s="67">
        <f t="shared" si="2"/>
        <v>0</v>
      </c>
      <c r="I39" s="67">
        <f t="shared" si="3"/>
        <v>0.18816440520446093</v>
      </c>
      <c r="J39" s="3" t="s">
        <v>33</v>
      </c>
    </row>
    <row r="40" spans="2:10" x14ac:dyDescent="0.3">
      <c r="B40" s="18" t="s">
        <v>4</v>
      </c>
      <c r="C40" s="5" t="s">
        <v>23</v>
      </c>
      <c r="D40" s="68">
        <v>21.42</v>
      </c>
      <c r="E40" s="22">
        <f t="shared" si="1"/>
        <v>1.9907063197026023E-2</v>
      </c>
      <c r="F40" s="314">
        <f>E40*'Baseline without discounts'!$C$23</f>
        <v>0.16751793680297397</v>
      </c>
      <c r="G40" s="22">
        <v>0</v>
      </c>
      <c r="H40" s="67">
        <f t="shared" si="2"/>
        <v>0</v>
      </c>
      <c r="I40" s="67">
        <f t="shared" si="3"/>
        <v>0.16751793680297397</v>
      </c>
      <c r="J40" s="3" t="s">
        <v>33</v>
      </c>
    </row>
    <row r="41" spans="2:10" x14ac:dyDescent="0.3">
      <c r="B41" s="19" t="s">
        <v>5</v>
      </c>
      <c r="C41" s="5" t="s">
        <v>24</v>
      </c>
      <c r="D41" s="68">
        <v>36.01</v>
      </c>
      <c r="E41" s="22">
        <f t="shared" si="1"/>
        <v>3.3466542750929369E-2</v>
      </c>
      <c r="F41" s="314">
        <f>E41*'Baseline without discounts'!$C$23</f>
        <v>0.2816209572490706</v>
      </c>
      <c r="G41" s="98">
        <f>'L2Production Metrics'!H8</f>
        <v>0.2227027027027027</v>
      </c>
      <c r="H41" s="67">
        <f t="shared" si="2"/>
        <v>6.2717748317090316E-2</v>
      </c>
      <c r="I41" s="67">
        <f t="shared" si="3"/>
        <v>0.21890320893198029</v>
      </c>
      <c r="J41" s="99" t="s">
        <v>129</v>
      </c>
    </row>
    <row r="42" spans="2:10" x14ac:dyDescent="0.3">
      <c r="B42" s="71" t="s">
        <v>121</v>
      </c>
      <c r="C42" s="72" t="s">
        <v>72</v>
      </c>
      <c r="D42" s="73">
        <f>SUM(D36:D41)</f>
        <v>192.2</v>
      </c>
      <c r="E42" s="74"/>
      <c r="F42" s="358">
        <f>SUM(F36:F41)</f>
        <v>1.5031254646840149</v>
      </c>
      <c r="G42" s="89"/>
      <c r="H42" s="75">
        <f>SUM(H36:H41)</f>
        <v>6.2717748317090316E-2</v>
      </c>
      <c r="I42" s="75">
        <f>SUM(I36:I41)</f>
        <v>1.4404077163669244</v>
      </c>
      <c r="J42" s="70"/>
    </row>
    <row r="43" spans="2:10" x14ac:dyDescent="0.3">
      <c r="B43" s="19"/>
      <c r="C43" s="5"/>
      <c r="D43"/>
      <c r="E43" s="22"/>
      <c r="F43" s="29"/>
      <c r="G43" s="22"/>
      <c r="H43" s="24"/>
      <c r="I43" s="24"/>
    </row>
    <row r="44" spans="2:10" x14ac:dyDescent="0.3">
      <c r="B44" s="80" t="s">
        <v>113</v>
      </c>
      <c r="C44" s="81"/>
      <c r="D44" s="82"/>
      <c r="E44" s="83"/>
      <c r="F44" s="84"/>
      <c r="G44" s="83"/>
      <c r="H44" s="85"/>
      <c r="I44" s="85"/>
      <c r="J44" s="82"/>
    </row>
    <row r="45" spans="2:10" customFormat="1" x14ac:dyDescent="0.3">
      <c r="B45" s="19" t="s">
        <v>130</v>
      </c>
    </row>
    <row r="46" spans="2:10" x14ac:dyDescent="0.3">
      <c r="B46" s="66" t="s">
        <v>127</v>
      </c>
      <c r="C46" s="5"/>
      <c r="D46"/>
      <c r="E46" s="22"/>
      <c r="F46" s="29"/>
      <c r="G46" s="22"/>
      <c r="H46" s="313"/>
      <c r="I46" s="24"/>
    </row>
    <row r="47" spans="2:10" x14ac:dyDescent="0.3">
      <c r="B47" s="66" t="s">
        <v>690</v>
      </c>
      <c r="C47" s="5"/>
      <c r="D47"/>
      <c r="E47" s="22"/>
      <c r="F47" s="29"/>
      <c r="G47" s="22"/>
      <c r="H47" s="24"/>
      <c r="I47" s="24"/>
    </row>
    <row r="48" spans="2:10" x14ac:dyDescent="0.3">
      <c r="B48"/>
      <c r="C48" s="5"/>
      <c r="D48"/>
      <c r="E48" s="22"/>
      <c r="F48" s="29"/>
      <c r="G48" s="22"/>
      <c r="H48" s="24"/>
      <c r="I48" s="24"/>
    </row>
    <row r="49" spans="2:10" ht="42" x14ac:dyDescent="0.3">
      <c r="B49" s="77" t="s">
        <v>8</v>
      </c>
      <c r="C49" s="32" t="s">
        <v>7</v>
      </c>
      <c r="D49" s="60" t="s">
        <v>115</v>
      </c>
      <c r="E49" s="78" t="s">
        <v>331</v>
      </c>
      <c r="F49" s="79" t="s">
        <v>123</v>
      </c>
      <c r="G49" s="31" t="s">
        <v>466</v>
      </c>
      <c r="H49" s="30" t="s">
        <v>31</v>
      </c>
      <c r="I49" s="31" t="s">
        <v>34</v>
      </c>
      <c r="J49" s="30" t="s">
        <v>30</v>
      </c>
    </row>
    <row r="50" spans="2:10" x14ac:dyDescent="0.3">
      <c r="B50" s="19" t="s">
        <v>5</v>
      </c>
      <c r="C50" s="5" t="s">
        <v>629</v>
      </c>
      <c r="D50" s="68">
        <v>603.54</v>
      </c>
      <c r="E50" s="307">
        <f>'Consumption metric inputs'!$E$5*'Consumption metric inputs'!$E$6</f>
        <v>3.0457000000000001E-2</v>
      </c>
      <c r="F50" s="76">
        <f>E50*D50</f>
        <v>18.382017779999998</v>
      </c>
      <c r="G50" s="300">
        <f>'Consumption metric inputs'!E9</f>
        <v>0.18723171120837576</v>
      </c>
      <c r="H50" s="91">
        <f>G50*F50</f>
        <v>3.4416966444121879</v>
      </c>
      <c r="I50" s="92">
        <f>F50-H50</f>
        <v>14.94032113558781</v>
      </c>
      <c r="J50" t="s">
        <v>330</v>
      </c>
    </row>
    <row r="51" spans="2:10" x14ac:dyDescent="0.3">
      <c r="B51" s="19" t="s">
        <v>5</v>
      </c>
      <c r="C51" s="271" t="s">
        <v>6</v>
      </c>
      <c r="D51" s="68" t="s">
        <v>153</v>
      </c>
      <c r="E51" s="52"/>
      <c r="F51" s="76"/>
      <c r="G51" s="110"/>
      <c r="H51" s="137">
        <f>'Poverty alleviation summary'!C8</f>
        <v>15.538992477284744</v>
      </c>
      <c r="I51" s="92">
        <f t="shared" ref="I51:I57" si="4">-H51</f>
        <v>-15.538992477284744</v>
      </c>
      <c r="J51" t="s">
        <v>483</v>
      </c>
    </row>
    <row r="52" spans="2:10" x14ac:dyDescent="0.3">
      <c r="B52" s="19" t="s">
        <v>542</v>
      </c>
      <c r="C52" s="271" t="s">
        <v>488</v>
      </c>
      <c r="D52" s="68" t="s">
        <v>153</v>
      </c>
      <c r="E52" s="52"/>
      <c r="F52" s="76"/>
      <c r="G52" s="110"/>
      <c r="H52" s="137">
        <f>'Poverty alleviation summary'!C6</f>
        <v>23.781695930878264</v>
      </c>
      <c r="I52" s="92">
        <f t="shared" si="4"/>
        <v>-23.781695930878264</v>
      </c>
      <c r="J52" t="s">
        <v>195</v>
      </c>
    </row>
    <row r="53" spans="2:10" x14ac:dyDescent="0.3">
      <c r="B53" s="321" t="s">
        <v>542</v>
      </c>
      <c r="C53" s="322" t="s">
        <v>489</v>
      </c>
      <c r="D53" s="68" t="s">
        <v>153</v>
      </c>
      <c r="E53" s="324"/>
      <c r="F53" s="325"/>
      <c r="G53" s="326"/>
      <c r="H53" s="323">
        <f>'Poverty alleviation summary'!C7</f>
        <v>16.226558516102649</v>
      </c>
      <c r="I53" s="327">
        <f t="shared" si="4"/>
        <v>-16.226558516102649</v>
      </c>
      <c r="J53" s="147" t="s">
        <v>483</v>
      </c>
    </row>
    <row r="54" spans="2:10" x14ac:dyDescent="0.3">
      <c r="B54" s="19" t="s">
        <v>542</v>
      </c>
      <c r="C54" s="271" t="s">
        <v>633</v>
      </c>
      <c r="D54" s="68" t="s">
        <v>153</v>
      </c>
      <c r="E54" s="52"/>
      <c r="F54" s="76"/>
      <c r="G54" s="110"/>
      <c r="H54" s="137">
        <f>'Poverty alleviation summary'!C9</f>
        <v>9.9090399711992774</v>
      </c>
      <c r="I54" s="92">
        <f t="shared" si="4"/>
        <v>-9.9090399711992774</v>
      </c>
      <c r="J54" t="s">
        <v>483</v>
      </c>
    </row>
    <row r="55" spans="2:10" x14ac:dyDescent="0.3">
      <c r="B55" s="19" t="s">
        <v>542</v>
      </c>
      <c r="C55" s="271" t="s">
        <v>490</v>
      </c>
      <c r="D55" s="68" t="s">
        <v>153</v>
      </c>
      <c r="E55" s="52"/>
      <c r="F55" s="76"/>
      <c r="G55" s="110"/>
      <c r="H55" s="137">
        <f>'Poverty alleviation summary'!C10</f>
        <v>7.8382528425241622</v>
      </c>
      <c r="I55" s="92">
        <f t="shared" si="4"/>
        <v>-7.8382528425241622</v>
      </c>
      <c r="J55" t="s">
        <v>483</v>
      </c>
    </row>
    <row r="56" spans="2:10" x14ac:dyDescent="0.3">
      <c r="B56" s="19" t="s">
        <v>542</v>
      </c>
      <c r="C56" s="271" t="s">
        <v>491</v>
      </c>
      <c r="D56" s="68" t="s">
        <v>153</v>
      </c>
      <c r="E56" s="52"/>
      <c r="F56" s="76"/>
      <c r="G56" s="110"/>
      <c r="H56" s="137">
        <f>'Poverty alleviation summary'!C11</f>
        <v>6.7300581681941205</v>
      </c>
      <c r="I56" s="92">
        <f t="shared" si="4"/>
        <v>-6.7300581681941205</v>
      </c>
      <c r="J56" t="s">
        <v>483</v>
      </c>
    </row>
    <row r="57" spans="2:10" x14ac:dyDescent="0.3">
      <c r="B57" s="19" t="s">
        <v>542</v>
      </c>
      <c r="C57" s="271" t="s">
        <v>492</v>
      </c>
      <c r="D57" s="68" t="s">
        <v>153</v>
      </c>
      <c r="E57" s="52"/>
      <c r="F57" s="76"/>
      <c r="G57" s="110"/>
      <c r="H57" s="137">
        <f>'Poverty alleviation summary'!C12</f>
        <v>3.2760499496618012</v>
      </c>
      <c r="I57" s="92">
        <f t="shared" si="4"/>
        <v>-3.2760499496618012</v>
      </c>
      <c r="J57" t="s">
        <v>483</v>
      </c>
    </row>
    <row r="58" spans="2:10" x14ac:dyDescent="0.3">
      <c r="B58" s="80" t="s">
        <v>121</v>
      </c>
      <c r="C58" s="86" t="s">
        <v>72</v>
      </c>
      <c r="D58" s="87"/>
      <c r="E58" s="83"/>
      <c r="F58" s="90">
        <f>SUM(F50:F52)</f>
        <v>18.382017779999998</v>
      </c>
      <c r="G58" s="90"/>
      <c r="H58" s="90">
        <f>SUM(H50:H57)</f>
        <v>86.74234450025719</v>
      </c>
      <c r="I58" s="90">
        <f>SUM(I50:I57)</f>
        <v>-68.360326720257206</v>
      </c>
      <c r="J58" s="82"/>
    </row>
    <row r="59" spans="2:10" x14ac:dyDescent="0.3">
      <c r="B59" s="5"/>
      <c r="C59" s="17"/>
      <c r="D59" s="21"/>
      <c r="F59" s="20"/>
      <c r="H59" s="20"/>
      <c r="I59" s="20"/>
    </row>
    <row r="60" spans="2:10" x14ac:dyDescent="0.3">
      <c r="B60" s="5"/>
      <c r="C60" s="17"/>
      <c r="D60" s="21"/>
      <c r="F60" s="20"/>
      <c r="H60" s="20"/>
      <c r="I60" s="20"/>
    </row>
    <row r="63" spans="2:10" x14ac:dyDescent="0.3">
      <c r="B63" s="286" t="s">
        <v>537</v>
      </c>
      <c r="C63" s="286"/>
      <c r="D63" s="286"/>
      <c r="E63" s="286"/>
      <c r="F63" s="286"/>
      <c r="G63" s="286"/>
      <c r="H63" s="286"/>
      <c r="I63" s="286"/>
      <c r="J63" s="286"/>
    </row>
    <row r="65" spans="2:10" ht="42" x14ac:dyDescent="0.3">
      <c r="B65" s="77" t="s">
        <v>8</v>
      </c>
      <c r="C65" s="32" t="s">
        <v>7</v>
      </c>
      <c r="D65" s="60" t="s">
        <v>115</v>
      </c>
      <c r="E65" s="78" t="s">
        <v>331</v>
      </c>
      <c r="F65" s="79" t="s">
        <v>123</v>
      </c>
      <c r="G65" s="31" t="s">
        <v>466</v>
      </c>
      <c r="H65" s="30" t="s">
        <v>31</v>
      </c>
      <c r="I65" s="31" t="s">
        <v>34</v>
      </c>
      <c r="J65" s="30" t="s">
        <v>30</v>
      </c>
    </row>
    <row r="66" spans="2:10" x14ac:dyDescent="0.3">
      <c r="B66" s="19" t="s">
        <v>542</v>
      </c>
      <c r="C66" s="271" t="s">
        <v>479</v>
      </c>
      <c r="D66" s="68" t="s">
        <v>153</v>
      </c>
      <c r="E66" s="52"/>
      <c r="F66" s="76"/>
      <c r="G66" s="110"/>
      <c r="H66" s="137">
        <f>'Consumption metric inputs'!E47</f>
        <v>3.5247341176470588</v>
      </c>
      <c r="I66" s="92">
        <f>-H66</f>
        <v>-3.5247341176470588</v>
      </c>
      <c r="J66" t="s">
        <v>483</v>
      </c>
    </row>
  </sheetData>
  <dataConsolid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BC6CD-EFEF-44C6-9A71-B7EBA95CEDC2}">
  <sheetPr codeName="Sheet5">
    <tabColor theme="4" tint="0.89999084444715716"/>
  </sheetPr>
  <dimension ref="B2:T83"/>
  <sheetViews>
    <sheetView showGridLines="0" zoomScale="103" zoomScaleNormal="70" workbookViewId="0"/>
  </sheetViews>
  <sheetFormatPr defaultRowHeight="14" x14ac:dyDescent="0.3"/>
  <cols>
    <col min="2" max="2" width="19.5" bestFit="1" customWidth="1"/>
    <col min="3" max="3" width="29" bestFit="1" customWidth="1"/>
    <col min="5" max="5" width="20.6640625" customWidth="1"/>
    <col min="6" max="6" width="35.58203125" bestFit="1" customWidth="1"/>
    <col min="7" max="7" width="48.6640625" bestFit="1" customWidth="1"/>
    <col min="8" max="8" width="12" bestFit="1" customWidth="1"/>
    <col min="9" max="9" width="10.58203125" customWidth="1"/>
    <col min="10" max="10" width="21.5" bestFit="1" customWidth="1"/>
  </cols>
  <sheetData>
    <row r="2" spans="2:20" x14ac:dyDescent="0.3">
      <c r="B2" s="234" t="s">
        <v>598</v>
      </c>
      <c r="C2" s="235"/>
      <c r="D2" s="235"/>
      <c r="E2" s="235"/>
      <c r="F2" s="235"/>
      <c r="G2" s="235"/>
    </row>
    <row r="4" spans="2:20" s="3" customFormat="1" ht="28" x14ac:dyDescent="0.3">
      <c r="B4" s="112" t="s">
        <v>8</v>
      </c>
      <c r="C4" s="113" t="s">
        <v>691</v>
      </c>
      <c r="D4"/>
      <c r="E4"/>
    </row>
    <row r="5" spans="2:20" s="3" customFormat="1" x14ac:dyDescent="0.3">
      <c r="B5" s="96" t="s">
        <v>12</v>
      </c>
      <c r="C5" s="111">
        <v>0</v>
      </c>
      <c r="D5"/>
      <c r="E5"/>
    </row>
    <row r="6" spans="2:20" s="3" customFormat="1" x14ac:dyDescent="0.3">
      <c r="B6" s="96" t="s">
        <v>1</v>
      </c>
      <c r="C6" s="111">
        <v>0</v>
      </c>
      <c r="D6"/>
      <c r="E6"/>
    </row>
    <row r="7" spans="2:20" s="3" customFormat="1" x14ac:dyDescent="0.3">
      <c r="B7" s="96" t="s">
        <v>3</v>
      </c>
      <c r="C7" s="111">
        <f>'Baseline without discounts'!E10</f>
        <v>0</v>
      </c>
      <c r="D7"/>
      <c r="E7"/>
    </row>
    <row r="8" spans="2:20" s="3" customFormat="1" x14ac:dyDescent="0.3">
      <c r="B8" s="97" t="s">
        <v>4</v>
      </c>
      <c r="C8" s="111">
        <v>0</v>
      </c>
      <c r="D8"/>
      <c r="E8"/>
    </row>
    <row r="9" spans="2:20" s="3" customFormat="1" x14ac:dyDescent="0.3">
      <c r="B9" s="96" t="s">
        <v>5</v>
      </c>
      <c r="C9" s="111">
        <f>(1-D21)</f>
        <v>0.78193462465259245</v>
      </c>
      <c r="D9"/>
      <c r="E9"/>
    </row>
    <row r="10" spans="2:20" s="3" customFormat="1" x14ac:dyDescent="0.3">
      <c r="B10" s="96" t="s">
        <v>542</v>
      </c>
      <c r="C10" s="111">
        <f>(1-D25)</f>
        <v>0.57380479483137647</v>
      </c>
      <c r="D10"/>
      <c r="E10"/>
    </row>
    <row r="12" spans="2:20" s="3" customFormat="1" x14ac:dyDescent="0.3">
      <c r="B12" s="100" t="s">
        <v>319</v>
      </c>
      <c r="C12" s="100"/>
      <c r="D12" s="100"/>
      <c r="E12" s="100"/>
      <c r="F12" s="100"/>
      <c r="G12" s="100"/>
      <c r="H12"/>
      <c r="I12"/>
      <c r="J12"/>
      <c r="K12"/>
      <c r="L12"/>
      <c r="M12"/>
      <c r="N12"/>
      <c r="O12"/>
      <c r="P12"/>
      <c r="Q12"/>
      <c r="R12"/>
      <c r="S12"/>
      <c r="T12"/>
    </row>
    <row r="13" spans="2:20" s="3" customFormat="1" x14ac:dyDescent="0.3">
      <c r="B13" s="4" t="s">
        <v>506</v>
      </c>
      <c r="C13" s="4" t="s">
        <v>79</v>
      </c>
      <c r="D13" s="4" t="s">
        <v>117</v>
      </c>
      <c r="E13" s="4" t="s">
        <v>42</v>
      </c>
      <c r="F13" s="4" t="s">
        <v>13</v>
      </c>
      <c r="G13" s="4" t="s">
        <v>14</v>
      </c>
      <c r="H13" s="20"/>
      <c r="I13" s="20"/>
    </row>
    <row r="14" spans="2:20" s="3" customFormat="1" x14ac:dyDescent="0.3">
      <c r="B14" s="225" t="s">
        <v>121</v>
      </c>
      <c r="C14" s="226" t="s">
        <v>322</v>
      </c>
      <c r="D14" s="227">
        <f>(5+18)/2</f>
        <v>11.5</v>
      </c>
      <c r="E14" s="12" t="s">
        <v>324</v>
      </c>
      <c r="F14" s="12" t="s">
        <v>323</v>
      </c>
      <c r="G14" s="12"/>
      <c r="H14" s="20"/>
      <c r="I14" s="20"/>
    </row>
    <row r="15" spans="2:20" s="3" customFormat="1" ht="42" x14ac:dyDescent="0.3">
      <c r="B15" s="228" t="s">
        <v>320</v>
      </c>
      <c r="C15" s="229" t="s">
        <v>481</v>
      </c>
      <c r="D15" s="328">
        <v>0.03</v>
      </c>
      <c r="E15" s="82" t="s">
        <v>321</v>
      </c>
      <c r="F15" s="141" t="s">
        <v>597</v>
      </c>
      <c r="G15" s="82" t="s">
        <v>596</v>
      </c>
      <c r="H15" s="20"/>
      <c r="I15" s="20"/>
    </row>
    <row r="16" spans="2:20" s="3" customFormat="1" x14ac:dyDescent="0.3">
      <c r="B16" s="228" t="s">
        <v>629</v>
      </c>
      <c r="C16" s="276" t="s">
        <v>462</v>
      </c>
      <c r="D16" s="82">
        <v>45</v>
      </c>
      <c r="E16" s="229" t="s">
        <v>324</v>
      </c>
      <c r="F16" s="82" t="s">
        <v>463</v>
      </c>
      <c r="G16" s="82" t="s">
        <v>464</v>
      </c>
      <c r="H16" s="20"/>
      <c r="I16" s="20"/>
      <c r="L16"/>
    </row>
    <row r="17" spans="2:12" s="3" customFormat="1" x14ac:dyDescent="0.3">
      <c r="B17" s="228" t="s">
        <v>629</v>
      </c>
      <c r="C17" s="276" t="s">
        <v>529</v>
      </c>
      <c r="D17" s="82">
        <f>AVERAGE(65,71.8)</f>
        <v>68.400000000000006</v>
      </c>
      <c r="E17" s="229" t="s">
        <v>324</v>
      </c>
      <c r="F17" s="82" t="s">
        <v>532</v>
      </c>
      <c r="G17" s="82" t="s">
        <v>531</v>
      </c>
      <c r="H17" s="20"/>
      <c r="I17" s="20"/>
      <c r="L17"/>
    </row>
    <row r="18" spans="2:12" s="3" customFormat="1" x14ac:dyDescent="0.3">
      <c r="B18" s="228" t="s">
        <v>629</v>
      </c>
      <c r="C18" s="276" t="s">
        <v>530</v>
      </c>
      <c r="D18" s="82">
        <v>69.2</v>
      </c>
      <c r="E18" s="229" t="s">
        <v>324</v>
      </c>
      <c r="F18" s="82" t="s">
        <v>533</v>
      </c>
      <c r="G18" s="82" t="s">
        <v>534</v>
      </c>
      <c r="H18" s="20"/>
      <c r="I18" s="20"/>
      <c r="L18"/>
    </row>
    <row r="19" spans="2:12" s="3" customFormat="1" ht="28" x14ac:dyDescent="0.3">
      <c r="B19" s="228" t="s">
        <v>629</v>
      </c>
      <c r="C19" s="276" t="s">
        <v>630</v>
      </c>
      <c r="D19" s="82">
        <f>ROUNDUP(AVERAGE(D16:D18),0)</f>
        <v>61</v>
      </c>
      <c r="E19" s="229" t="s">
        <v>324</v>
      </c>
      <c r="F19" s="82" t="s">
        <v>152</v>
      </c>
      <c r="G19" s="82"/>
      <c r="H19" s="20"/>
      <c r="I19" s="20"/>
      <c r="L19"/>
    </row>
    <row r="20" spans="2:12" s="3" customFormat="1" ht="28" x14ac:dyDescent="0.3">
      <c r="B20" s="228" t="s">
        <v>629</v>
      </c>
      <c r="C20" s="141" t="s">
        <v>631</v>
      </c>
      <c r="D20" s="142">
        <f>ROUNDUP(D19-D14,0)</f>
        <v>50</v>
      </c>
      <c r="E20" s="82" t="s">
        <v>325</v>
      </c>
      <c r="F20" s="82" t="s">
        <v>152</v>
      </c>
      <c r="G20" s="82"/>
      <c r="H20" s="20"/>
      <c r="I20" s="20"/>
    </row>
    <row r="21" spans="2:12" s="3" customFormat="1" ht="28" x14ac:dyDescent="0.3">
      <c r="B21" s="228" t="s">
        <v>629</v>
      </c>
      <c r="C21" s="141" t="s">
        <v>632</v>
      </c>
      <c r="D21" s="83">
        <f>INDEX('Discount rate logic'!$D$29:$D$83,MATCH('Discount rate logic'!D20,'Discount rate logic'!$B$29:$B$83,0))</f>
        <v>0.21806537534740753</v>
      </c>
      <c r="E21" s="82" t="s">
        <v>329</v>
      </c>
      <c r="F21" s="82" t="s">
        <v>152</v>
      </c>
      <c r="G21" s="82"/>
      <c r="H21" s="20"/>
      <c r="I21" s="20"/>
    </row>
    <row r="22" spans="2:12" s="3" customFormat="1" ht="28" x14ac:dyDescent="0.3">
      <c r="B22" s="231" t="s">
        <v>542</v>
      </c>
      <c r="C22" s="140" t="s">
        <v>495</v>
      </c>
      <c r="D22" s="233">
        <v>0.03</v>
      </c>
      <c r="E22" s="70" t="s">
        <v>321</v>
      </c>
      <c r="F22" s="70" t="s">
        <v>528</v>
      </c>
      <c r="G22" s="70"/>
      <c r="H22" s="20"/>
      <c r="I22" s="20"/>
    </row>
    <row r="23" spans="2:12" s="3" customFormat="1" x14ac:dyDescent="0.3">
      <c r="B23" s="231" t="s">
        <v>542</v>
      </c>
      <c r="C23" s="70" t="s">
        <v>465</v>
      </c>
      <c r="D23" s="70">
        <f>AVERAGE(17,61)</f>
        <v>39</v>
      </c>
      <c r="E23" s="70" t="s">
        <v>324</v>
      </c>
      <c r="F23" s="70" t="s">
        <v>192</v>
      </c>
      <c r="G23" s="70"/>
      <c r="H23" s="20"/>
      <c r="I23" s="20"/>
    </row>
    <row r="24" spans="2:12" s="3" customFormat="1" ht="28" x14ac:dyDescent="0.3">
      <c r="B24" s="231" t="s">
        <v>542</v>
      </c>
      <c r="C24" s="140" t="s">
        <v>482</v>
      </c>
      <c r="D24" s="232">
        <f>ROUNDUP(D23-D14,0)</f>
        <v>28</v>
      </c>
      <c r="E24" s="70" t="s">
        <v>325</v>
      </c>
      <c r="F24" s="70" t="s">
        <v>152</v>
      </c>
      <c r="G24" s="70"/>
      <c r="H24" s="20"/>
      <c r="I24" s="20"/>
    </row>
    <row r="25" spans="2:12" s="3" customFormat="1" ht="28" x14ac:dyDescent="0.3">
      <c r="B25" s="231" t="s">
        <v>542</v>
      </c>
      <c r="C25" s="140" t="s">
        <v>328</v>
      </c>
      <c r="D25" s="233">
        <f>INDEX('Discount rate logic'!$I$30:$I$84,MATCH('Discount rate logic'!D24,'Discount rate logic'!$G$30:$G$84,0))</f>
        <v>0.42619520516862347</v>
      </c>
      <c r="E25" s="70" t="s">
        <v>334</v>
      </c>
      <c r="F25" s="70" t="s">
        <v>152</v>
      </c>
      <c r="G25" s="70"/>
      <c r="H25" s="20"/>
      <c r="I25" s="20"/>
    </row>
    <row r="27" spans="2:12" s="3" customFormat="1" x14ac:dyDescent="0.3">
      <c r="B27" s="88" t="s">
        <v>496</v>
      </c>
      <c r="C27" s="82"/>
      <c r="D27" s="82"/>
      <c r="E27" s="82"/>
      <c r="F27"/>
      <c r="G27" s="88" t="s">
        <v>497</v>
      </c>
      <c r="H27" s="82"/>
      <c r="I27" s="82"/>
      <c r="J27" s="82"/>
    </row>
    <row r="28" spans="2:12" x14ac:dyDescent="0.3">
      <c r="B28" s="4" t="s">
        <v>326</v>
      </c>
      <c r="C28" s="4" t="s">
        <v>72</v>
      </c>
      <c r="D28" s="4" t="s">
        <v>335</v>
      </c>
      <c r="E28" s="4" t="s">
        <v>327</v>
      </c>
      <c r="F28" s="3"/>
      <c r="G28" s="4" t="s">
        <v>326</v>
      </c>
      <c r="H28" s="4" t="s">
        <v>72</v>
      </c>
      <c r="I28" s="4" t="s">
        <v>335</v>
      </c>
      <c r="J28" s="4" t="s">
        <v>327</v>
      </c>
    </row>
    <row r="29" spans="2:12" x14ac:dyDescent="0.3">
      <c r="B29" s="3">
        <v>0</v>
      </c>
      <c r="C29" s="3">
        <v>100</v>
      </c>
      <c r="D29" s="22">
        <f t="shared" ref="D29:D60" si="0">C29%</f>
        <v>1</v>
      </c>
      <c r="E29" s="16">
        <f>D15</f>
        <v>0.03</v>
      </c>
      <c r="F29" s="3"/>
      <c r="G29" s="3">
        <v>0</v>
      </c>
      <c r="H29" s="3">
        <v>100</v>
      </c>
      <c r="I29" s="22">
        <f t="shared" ref="I29:I83" si="1">H29%</f>
        <v>1</v>
      </c>
      <c r="J29" s="16">
        <f>D22</f>
        <v>0.03</v>
      </c>
    </row>
    <row r="30" spans="2:12" x14ac:dyDescent="0.3">
      <c r="B30" s="3">
        <v>1</v>
      </c>
      <c r="C30" s="3">
        <f>C29-(C29*E29)</f>
        <v>97</v>
      </c>
      <c r="D30" s="22">
        <f t="shared" si="0"/>
        <v>0.97</v>
      </c>
      <c r="E30" s="3"/>
      <c r="F30" s="3"/>
      <c r="G30" s="3">
        <v>1</v>
      </c>
      <c r="H30" s="3">
        <f>H29-(H29*$J$29)</f>
        <v>97</v>
      </c>
      <c r="I30" s="22">
        <f t="shared" si="1"/>
        <v>0.97</v>
      </c>
      <c r="J30" s="3"/>
    </row>
    <row r="31" spans="2:12" x14ac:dyDescent="0.3">
      <c r="B31" s="3">
        <v>2</v>
      </c>
      <c r="C31" s="3">
        <f t="shared" ref="C31:C62" si="2">C30-(C30*$E$29)</f>
        <v>94.09</v>
      </c>
      <c r="D31" s="22">
        <f t="shared" si="0"/>
        <v>0.94090000000000007</v>
      </c>
      <c r="E31" s="3"/>
      <c r="F31" s="3"/>
      <c r="G31" s="3">
        <v>2</v>
      </c>
      <c r="H31" s="3">
        <f t="shared" ref="H31:H83" si="3">H30-(H30*$J$29)</f>
        <v>94.09</v>
      </c>
      <c r="I31" s="22">
        <f t="shared" si="1"/>
        <v>0.94090000000000007</v>
      </c>
      <c r="J31" s="3"/>
    </row>
    <row r="32" spans="2:12" x14ac:dyDescent="0.3">
      <c r="B32" s="3">
        <v>3</v>
      </c>
      <c r="C32" s="3">
        <f t="shared" si="2"/>
        <v>91.267300000000006</v>
      </c>
      <c r="D32" s="22">
        <f t="shared" si="0"/>
        <v>0.91267300000000007</v>
      </c>
      <c r="E32" s="3"/>
      <c r="F32" s="3"/>
      <c r="G32" s="3">
        <v>3</v>
      </c>
      <c r="H32" s="3">
        <f t="shared" si="3"/>
        <v>91.267300000000006</v>
      </c>
      <c r="I32" s="22">
        <f t="shared" si="1"/>
        <v>0.91267300000000007</v>
      </c>
      <c r="J32" s="3"/>
    </row>
    <row r="33" spans="2:10" x14ac:dyDescent="0.3">
      <c r="B33" s="3">
        <v>4</v>
      </c>
      <c r="C33" s="3">
        <f t="shared" si="2"/>
        <v>88.529281000000012</v>
      </c>
      <c r="D33" s="22">
        <f t="shared" si="0"/>
        <v>0.88529281000000015</v>
      </c>
      <c r="E33" s="3"/>
      <c r="F33" s="3"/>
      <c r="G33" s="3">
        <v>4</v>
      </c>
      <c r="H33" s="3">
        <f t="shared" si="3"/>
        <v>88.529281000000012</v>
      </c>
      <c r="I33" s="22">
        <f t="shared" si="1"/>
        <v>0.88529281000000015</v>
      </c>
      <c r="J33" s="3"/>
    </row>
    <row r="34" spans="2:10" x14ac:dyDescent="0.3">
      <c r="B34" s="3">
        <v>5</v>
      </c>
      <c r="C34" s="3">
        <f t="shared" si="2"/>
        <v>85.87340257000001</v>
      </c>
      <c r="D34" s="22">
        <f t="shared" si="0"/>
        <v>0.85873402570000013</v>
      </c>
      <c r="E34" s="3"/>
      <c r="F34" s="3"/>
      <c r="G34" s="3">
        <v>5</v>
      </c>
      <c r="H34" s="3">
        <f t="shared" si="3"/>
        <v>85.87340257000001</v>
      </c>
      <c r="I34" s="22">
        <f t="shared" si="1"/>
        <v>0.85873402570000013</v>
      </c>
      <c r="J34" s="3"/>
    </row>
    <row r="35" spans="2:10" x14ac:dyDescent="0.3">
      <c r="B35" s="3">
        <v>6</v>
      </c>
      <c r="C35" s="3">
        <f t="shared" si="2"/>
        <v>83.297200492900004</v>
      </c>
      <c r="D35" s="22">
        <f t="shared" si="0"/>
        <v>0.83297200492900003</v>
      </c>
      <c r="E35" s="3"/>
      <c r="F35" s="3"/>
      <c r="G35" s="3">
        <v>6</v>
      </c>
      <c r="H35" s="3">
        <f t="shared" si="3"/>
        <v>83.297200492900004</v>
      </c>
      <c r="I35" s="22">
        <f t="shared" si="1"/>
        <v>0.83297200492900003</v>
      </c>
      <c r="J35" s="3"/>
    </row>
    <row r="36" spans="2:10" x14ac:dyDescent="0.3">
      <c r="B36" s="3">
        <v>7</v>
      </c>
      <c r="C36" s="3">
        <f t="shared" si="2"/>
        <v>80.798284478113004</v>
      </c>
      <c r="D36" s="22">
        <f t="shared" si="0"/>
        <v>0.80798284478113003</v>
      </c>
      <c r="E36" s="3"/>
      <c r="F36" s="3"/>
      <c r="G36" s="3">
        <v>7</v>
      </c>
      <c r="H36" s="3">
        <f t="shared" si="3"/>
        <v>80.798284478113004</v>
      </c>
      <c r="I36" s="22">
        <f t="shared" si="1"/>
        <v>0.80798284478113003</v>
      </c>
      <c r="J36" s="3"/>
    </row>
    <row r="37" spans="2:10" x14ac:dyDescent="0.3">
      <c r="B37" s="3">
        <v>8</v>
      </c>
      <c r="C37" s="3">
        <f t="shared" si="2"/>
        <v>78.374335943769609</v>
      </c>
      <c r="D37" s="22">
        <f t="shared" si="0"/>
        <v>0.78374335943769613</v>
      </c>
      <c r="E37" s="3"/>
      <c r="F37" s="3"/>
      <c r="G37" s="3">
        <v>8</v>
      </c>
      <c r="H37" s="3">
        <f t="shared" si="3"/>
        <v>78.374335943769609</v>
      </c>
      <c r="I37" s="22">
        <f t="shared" si="1"/>
        <v>0.78374335943769613</v>
      </c>
      <c r="J37" s="3"/>
    </row>
    <row r="38" spans="2:10" x14ac:dyDescent="0.3">
      <c r="B38" s="3">
        <v>9</v>
      </c>
      <c r="C38" s="3">
        <f t="shared" si="2"/>
        <v>76.023105865456515</v>
      </c>
      <c r="D38" s="22">
        <f t="shared" si="0"/>
        <v>0.76023105865456519</v>
      </c>
      <c r="E38" s="3"/>
      <c r="F38" s="3"/>
      <c r="G38" s="3">
        <v>9</v>
      </c>
      <c r="H38" s="3">
        <f t="shared" si="3"/>
        <v>76.023105865456515</v>
      </c>
      <c r="I38" s="22">
        <f t="shared" si="1"/>
        <v>0.76023105865456519</v>
      </c>
      <c r="J38" s="3"/>
    </row>
    <row r="39" spans="2:10" x14ac:dyDescent="0.3">
      <c r="B39" s="3">
        <v>10</v>
      </c>
      <c r="C39" s="3">
        <f t="shared" si="2"/>
        <v>73.742412689492824</v>
      </c>
      <c r="D39" s="22">
        <f t="shared" si="0"/>
        <v>0.7374241268949282</v>
      </c>
      <c r="E39" s="3"/>
      <c r="F39" s="3"/>
      <c r="G39" s="3">
        <v>10</v>
      </c>
      <c r="H39" s="3">
        <f t="shared" si="3"/>
        <v>73.742412689492824</v>
      </c>
      <c r="I39" s="22">
        <f t="shared" si="1"/>
        <v>0.7374241268949282</v>
      </c>
      <c r="J39" s="3"/>
    </row>
    <row r="40" spans="2:10" x14ac:dyDescent="0.3">
      <c r="B40" s="3">
        <v>11</v>
      </c>
      <c r="C40" s="3">
        <f t="shared" si="2"/>
        <v>71.530140308808043</v>
      </c>
      <c r="D40" s="22">
        <f t="shared" si="0"/>
        <v>0.71530140308808043</v>
      </c>
      <c r="E40" s="3"/>
      <c r="F40" s="3"/>
      <c r="G40" s="3">
        <v>11</v>
      </c>
      <c r="H40" s="3">
        <f t="shared" si="3"/>
        <v>71.530140308808043</v>
      </c>
      <c r="I40" s="22">
        <f t="shared" si="1"/>
        <v>0.71530140308808043</v>
      </c>
      <c r="J40" s="3"/>
    </row>
    <row r="41" spans="2:10" x14ac:dyDescent="0.3">
      <c r="B41" s="3">
        <v>12</v>
      </c>
      <c r="C41" s="3">
        <f t="shared" si="2"/>
        <v>69.384236099543799</v>
      </c>
      <c r="D41" s="22">
        <f t="shared" si="0"/>
        <v>0.69384236099543795</v>
      </c>
      <c r="E41" s="3"/>
      <c r="F41" s="3"/>
      <c r="G41" s="3">
        <v>12</v>
      </c>
      <c r="H41" s="3">
        <f t="shared" si="3"/>
        <v>69.384236099543799</v>
      </c>
      <c r="I41" s="22">
        <f t="shared" si="1"/>
        <v>0.69384236099543795</v>
      </c>
      <c r="J41" s="3"/>
    </row>
    <row r="42" spans="2:10" x14ac:dyDescent="0.3">
      <c r="B42" s="3">
        <v>13</v>
      </c>
      <c r="C42" s="3">
        <f t="shared" si="2"/>
        <v>67.302709016557486</v>
      </c>
      <c r="D42" s="22">
        <f t="shared" si="0"/>
        <v>0.67302709016557483</v>
      </c>
      <c r="E42" s="3"/>
      <c r="F42" s="3"/>
      <c r="G42" s="3">
        <v>13</v>
      </c>
      <c r="H42" s="3">
        <f t="shared" si="3"/>
        <v>67.302709016557486</v>
      </c>
      <c r="I42" s="22">
        <f t="shared" si="1"/>
        <v>0.67302709016557483</v>
      </c>
      <c r="J42" s="3"/>
    </row>
    <row r="43" spans="2:10" x14ac:dyDescent="0.3">
      <c r="B43" s="3">
        <v>14</v>
      </c>
      <c r="C43" s="3">
        <f t="shared" si="2"/>
        <v>65.283627746060759</v>
      </c>
      <c r="D43" s="22">
        <f t="shared" si="0"/>
        <v>0.65283627746060757</v>
      </c>
      <c r="E43" s="3"/>
      <c r="F43" s="3"/>
      <c r="G43" s="3">
        <v>14</v>
      </c>
      <c r="H43" s="3">
        <f t="shared" si="3"/>
        <v>65.283627746060759</v>
      </c>
      <c r="I43" s="22">
        <f t="shared" si="1"/>
        <v>0.65283627746060757</v>
      </c>
      <c r="J43" s="3"/>
    </row>
    <row r="44" spans="2:10" x14ac:dyDescent="0.3">
      <c r="B44" s="3">
        <v>15</v>
      </c>
      <c r="C44" s="3">
        <f t="shared" si="2"/>
        <v>63.325118913678935</v>
      </c>
      <c r="D44" s="22">
        <f t="shared" si="0"/>
        <v>0.63325118913678935</v>
      </c>
      <c r="E44" s="3"/>
      <c r="F44" s="3"/>
      <c r="G44" s="3">
        <v>15</v>
      </c>
      <c r="H44" s="3">
        <f t="shared" si="3"/>
        <v>63.325118913678935</v>
      </c>
      <c r="I44" s="22">
        <f t="shared" si="1"/>
        <v>0.63325118913678935</v>
      </c>
      <c r="J44" s="3"/>
    </row>
    <row r="45" spans="2:10" x14ac:dyDescent="0.3">
      <c r="B45" s="3">
        <v>16</v>
      </c>
      <c r="C45" s="3">
        <f t="shared" si="2"/>
        <v>61.425365346268563</v>
      </c>
      <c r="D45" s="22">
        <f t="shared" si="0"/>
        <v>0.61425365346268568</v>
      </c>
      <c r="E45" s="3"/>
      <c r="F45" s="3"/>
      <c r="G45" s="3">
        <v>16</v>
      </c>
      <c r="H45" s="3">
        <f t="shared" si="3"/>
        <v>61.425365346268563</v>
      </c>
      <c r="I45" s="22">
        <f t="shared" si="1"/>
        <v>0.61425365346268568</v>
      </c>
      <c r="J45" s="3"/>
    </row>
    <row r="46" spans="2:10" x14ac:dyDescent="0.3">
      <c r="B46" s="3">
        <v>17</v>
      </c>
      <c r="C46" s="3">
        <f t="shared" si="2"/>
        <v>59.582604385880508</v>
      </c>
      <c r="D46" s="22">
        <f t="shared" si="0"/>
        <v>0.59582604385880511</v>
      </c>
      <c r="E46" s="3"/>
      <c r="F46" s="3"/>
      <c r="G46" s="3">
        <v>17</v>
      </c>
      <c r="H46" s="3">
        <f t="shared" si="3"/>
        <v>59.582604385880508</v>
      </c>
      <c r="I46" s="22">
        <f t="shared" si="1"/>
        <v>0.59582604385880511</v>
      </c>
      <c r="J46" s="3"/>
    </row>
    <row r="47" spans="2:10" x14ac:dyDescent="0.3">
      <c r="B47" s="3">
        <v>18</v>
      </c>
      <c r="C47" s="3">
        <f t="shared" si="2"/>
        <v>57.795126254304094</v>
      </c>
      <c r="D47" s="22">
        <f t="shared" si="0"/>
        <v>0.57795126254304097</v>
      </c>
      <c r="E47" s="3"/>
      <c r="F47" s="3"/>
      <c r="G47" s="3">
        <v>18</v>
      </c>
      <c r="H47" s="3">
        <f t="shared" si="3"/>
        <v>57.795126254304094</v>
      </c>
      <c r="I47" s="22">
        <f t="shared" si="1"/>
        <v>0.57795126254304097</v>
      </c>
      <c r="J47" s="3"/>
    </row>
    <row r="48" spans="2:10" x14ac:dyDescent="0.3">
      <c r="B48" s="3">
        <v>19</v>
      </c>
      <c r="C48" s="3">
        <f t="shared" si="2"/>
        <v>56.061272466674971</v>
      </c>
      <c r="D48" s="22">
        <f t="shared" si="0"/>
        <v>0.56061272466674972</v>
      </c>
      <c r="E48" s="3"/>
      <c r="F48" s="3"/>
      <c r="G48" s="3">
        <v>19</v>
      </c>
      <c r="H48" s="3">
        <f t="shared" si="3"/>
        <v>56.061272466674971</v>
      </c>
      <c r="I48" s="22">
        <f t="shared" si="1"/>
        <v>0.56061272466674972</v>
      </c>
      <c r="J48" s="3"/>
    </row>
    <row r="49" spans="2:10" x14ac:dyDescent="0.3">
      <c r="B49" s="3">
        <v>20</v>
      </c>
      <c r="C49" s="3">
        <f t="shared" si="2"/>
        <v>54.379434292674723</v>
      </c>
      <c r="D49" s="22">
        <f t="shared" si="0"/>
        <v>0.54379434292674722</v>
      </c>
      <c r="E49" s="3"/>
      <c r="F49" s="3"/>
      <c r="G49" s="3">
        <v>20</v>
      </c>
      <c r="H49" s="3">
        <f t="shared" si="3"/>
        <v>54.379434292674723</v>
      </c>
      <c r="I49" s="22">
        <f t="shared" si="1"/>
        <v>0.54379434292674722</v>
      </c>
      <c r="J49" s="3"/>
    </row>
    <row r="50" spans="2:10" x14ac:dyDescent="0.3">
      <c r="B50" s="3">
        <v>21</v>
      </c>
      <c r="C50" s="3">
        <f t="shared" si="2"/>
        <v>52.748051263894482</v>
      </c>
      <c r="D50" s="22">
        <f t="shared" si="0"/>
        <v>0.5274805126389448</v>
      </c>
      <c r="E50" s="3"/>
      <c r="F50" s="3"/>
      <c r="G50" s="3">
        <v>21</v>
      </c>
      <c r="H50" s="3">
        <f t="shared" si="3"/>
        <v>52.748051263894482</v>
      </c>
      <c r="I50" s="22">
        <f t="shared" si="1"/>
        <v>0.5274805126389448</v>
      </c>
      <c r="J50" s="3"/>
    </row>
    <row r="51" spans="2:10" x14ac:dyDescent="0.3">
      <c r="B51" s="3">
        <v>22</v>
      </c>
      <c r="C51" s="3">
        <f t="shared" si="2"/>
        <v>51.165609725977646</v>
      </c>
      <c r="D51" s="22">
        <f t="shared" si="0"/>
        <v>0.51165609725977645</v>
      </c>
      <c r="E51" s="3"/>
      <c r="F51" s="3"/>
      <c r="G51" s="3">
        <v>22</v>
      </c>
      <c r="H51" s="3">
        <f t="shared" si="3"/>
        <v>51.165609725977646</v>
      </c>
      <c r="I51" s="22">
        <f t="shared" si="1"/>
        <v>0.51165609725977645</v>
      </c>
      <c r="J51" s="3"/>
    </row>
    <row r="52" spans="2:10" x14ac:dyDescent="0.3">
      <c r="B52" s="3">
        <v>23</v>
      </c>
      <c r="C52" s="3">
        <f t="shared" si="2"/>
        <v>49.630641434198317</v>
      </c>
      <c r="D52" s="22">
        <f t="shared" si="0"/>
        <v>0.49630641434198319</v>
      </c>
      <c r="E52" s="3"/>
      <c r="F52" s="3"/>
      <c r="G52" s="3">
        <v>23</v>
      </c>
      <c r="H52" s="3">
        <f t="shared" si="3"/>
        <v>49.630641434198317</v>
      </c>
      <c r="I52" s="22">
        <f t="shared" si="1"/>
        <v>0.49630641434198319</v>
      </c>
      <c r="J52" s="3"/>
    </row>
    <row r="53" spans="2:10" x14ac:dyDescent="0.3">
      <c r="B53" s="3">
        <v>24</v>
      </c>
      <c r="C53" s="3">
        <f t="shared" si="2"/>
        <v>48.14172219117237</v>
      </c>
      <c r="D53" s="22">
        <f t="shared" si="0"/>
        <v>0.4814172219117237</v>
      </c>
      <c r="E53" s="3"/>
      <c r="F53" s="3"/>
      <c r="G53" s="3">
        <v>24</v>
      </c>
      <c r="H53" s="3">
        <f t="shared" si="3"/>
        <v>48.14172219117237</v>
      </c>
      <c r="I53" s="22">
        <f t="shared" si="1"/>
        <v>0.4814172219117237</v>
      </c>
      <c r="J53" s="3"/>
    </row>
    <row r="54" spans="2:10" x14ac:dyDescent="0.3">
      <c r="B54" s="3">
        <v>25</v>
      </c>
      <c r="C54" s="3">
        <f t="shared" si="2"/>
        <v>46.697470525437197</v>
      </c>
      <c r="D54" s="22">
        <f t="shared" si="0"/>
        <v>0.46697470525437196</v>
      </c>
      <c r="E54" s="3"/>
      <c r="F54" s="3"/>
      <c r="G54" s="3">
        <v>25</v>
      </c>
      <c r="H54" s="3">
        <f t="shared" si="3"/>
        <v>46.697470525437197</v>
      </c>
      <c r="I54" s="22">
        <f t="shared" si="1"/>
        <v>0.46697470525437196</v>
      </c>
      <c r="J54" s="3"/>
    </row>
    <row r="55" spans="2:10" x14ac:dyDescent="0.3">
      <c r="B55" s="3">
        <v>26</v>
      </c>
      <c r="C55" s="3">
        <f t="shared" si="2"/>
        <v>45.296546409674079</v>
      </c>
      <c r="D55" s="22">
        <f t="shared" si="0"/>
        <v>0.45296546409674077</v>
      </c>
      <c r="E55" s="3"/>
      <c r="F55" s="3"/>
      <c r="G55" s="3">
        <v>26</v>
      </c>
      <c r="H55" s="3">
        <f t="shared" si="3"/>
        <v>45.296546409674079</v>
      </c>
      <c r="I55" s="22">
        <f t="shared" si="1"/>
        <v>0.45296546409674077</v>
      </c>
      <c r="J55" s="3"/>
    </row>
    <row r="56" spans="2:10" x14ac:dyDescent="0.3">
      <c r="B56" s="3">
        <v>27</v>
      </c>
      <c r="C56" s="3">
        <f t="shared" si="2"/>
        <v>43.937650017383859</v>
      </c>
      <c r="D56" s="22">
        <f t="shared" si="0"/>
        <v>0.43937650017383861</v>
      </c>
      <c r="E56" s="3"/>
      <c r="F56" s="3"/>
      <c r="G56" s="3">
        <v>27</v>
      </c>
      <c r="H56" s="3">
        <f t="shared" si="3"/>
        <v>43.937650017383859</v>
      </c>
      <c r="I56" s="22">
        <f t="shared" si="1"/>
        <v>0.43937650017383861</v>
      </c>
      <c r="J56" s="3"/>
    </row>
    <row r="57" spans="2:10" x14ac:dyDescent="0.3">
      <c r="B57" s="3">
        <v>28</v>
      </c>
      <c r="C57" s="3">
        <f t="shared" si="2"/>
        <v>42.619520516862345</v>
      </c>
      <c r="D57" s="22">
        <f t="shared" si="0"/>
        <v>0.42619520516862347</v>
      </c>
      <c r="E57" s="3"/>
      <c r="F57" s="3"/>
      <c r="G57" s="3">
        <v>28</v>
      </c>
      <c r="H57" s="3">
        <f t="shared" si="3"/>
        <v>42.619520516862345</v>
      </c>
      <c r="I57" s="22">
        <f t="shared" si="1"/>
        <v>0.42619520516862347</v>
      </c>
      <c r="J57" s="3"/>
    </row>
    <row r="58" spans="2:10" x14ac:dyDescent="0.3">
      <c r="B58" s="3">
        <v>29</v>
      </c>
      <c r="C58" s="3">
        <f t="shared" si="2"/>
        <v>41.340934901356476</v>
      </c>
      <c r="D58" s="22">
        <f t="shared" si="0"/>
        <v>0.41340934901356474</v>
      </c>
      <c r="E58" s="3"/>
      <c r="F58" s="3"/>
      <c r="G58" s="3">
        <v>29</v>
      </c>
      <c r="H58" s="3">
        <f t="shared" si="3"/>
        <v>41.340934901356476</v>
      </c>
      <c r="I58" s="22">
        <f t="shared" si="1"/>
        <v>0.41340934901356474</v>
      </c>
      <c r="J58" s="3"/>
    </row>
    <row r="59" spans="2:10" x14ac:dyDescent="0.3">
      <c r="B59" s="3">
        <v>30</v>
      </c>
      <c r="C59" s="3">
        <f t="shared" si="2"/>
        <v>40.100706854315781</v>
      </c>
      <c r="D59" s="22">
        <f t="shared" si="0"/>
        <v>0.40100706854315782</v>
      </c>
      <c r="E59" s="3"/>
      <c r="F59" s="3"/>
      <c r="G59" s="3">
        <v>30</v>
      </c>
      <c r="H59" s="3">
        <f t="shared" si="3"/>
        <v>40.100706854315781</v>
      </c>
      <c r="I59" s="22">
        <f t="shared" si="1"/>
        <v>0.40100706854315782</v>
      </c>
      <c r="J59" s="3"/>
    </row>
    <row r="60" spans="2:10" x14ac:dyDescent="0.3">
      <c r="B60" s="3">
        <v>31</v>
      </c>
      <c r="C60" s="3">
        <f t="shared" si="2"/>
        <v>38.897685648686306</v>
      </c>
      <c r="D60" s="22">
        <f t="shared" si="0"/>
        <v>0.38897685648686303</v>
      </c>
      <c r="E60" s="3"/>
      <c r="F60" s="3"/>
      <c r="G60" s="3">
        <v>31</v>
      </c>
      <c r="H60" s="3">
        <f t="shared" si="3"/>
        <v>38.897685648686306</v>
      </c>
      <c r="I60" s="22">
        <f t="shared" si="1"/>
        <v>0.38897685648686303</v>
      </c>
      <c r="J60" s="3"/>
    </row>
    <row r="61" spans="2:10" x14ac:dyDescent="0.3">
      <c r="B61" s="3">
        <v>32</v>
      </c>
      <c r="C61" s="3">
        <f t="shared" si="2"/>
        <v>37.730755079225716</v>
      </c>
      <c r="D61" s="22">
        <f t="shared" ref="D61:D83" si="4">C61%</f>
        <v>0.37730755079225714</v>
      </c>
      <c r="E61" s="3"/>
      <c r="F61" s="3"/>
      <c r="G61" s="3">
        <v>32</v>
      </c>
      <c r="H61" s="3">
        <f t="shared" si="3"/>
        <v>37.730755079225716</v>
      </c>
      <c r="I61" s="22">
        <f t="shared" si="1"/>
        <v>0.37730755079225714</v>
      </c>
      <c r="J61" s="3"/>
    </row>
    <row r="62" spans="2:10" x14ac:dyDescent="0.3">
      <c r="B62" s="3">
        <v>33</v>
      </c>
      <c r="C62" s="3">
        <f t="shared" si="2"/>
        <v>36.598832426848944</v>
      </c>
      <c r="D62" s="22">
        <f t="shared" si="4"/>
        <v>0.36598832426848943</v>
      </c>
      <c r="E62" s="3"/>
      <c r="F62" s="3"/>
      <c r="G62" s="3">
        <v>33</v>
      </c>
      <c r="H62" s="3">
        <f t="shared" si="3"/>
        <v>36.598832426848944</v>
      </c>
      <c r="I62" s="22">
        <f t="shared" si="1"/>
        <v>0.36598832426848943</v>
      </c>
      <c r="J62" s="3"/>
    </row>
    <row r="63" spans="2:10" x14ac:dyDescent="0.3">
      <c r="B63" s="3">
        <v>34</v>
      </c>
      <c r="C63" s="3">
        <f t="shared" ref="C63:C83" si="5">C62-(C62*$E$29)</f>
        <v>35.500867454043473</v>
      </c>
      <c r="D63" s="22">
        <f t="shared" si="4"/>
        <v>0.35500867454043472</v>
      </c>
      <c r="E63" s="3"/>
      <c r="F63" s="3"/>
      <c r="G63" s="3">
        <v>34</v>
      </c>
      <c r="H63" s="3">
        <f t="shared" si="3"/>
        <v>35.500867454043473</v>
      </c>
      <c r="I63" s="22">
        <f t="shared" si="1"/>
        <v>0.35500867454043472</v>
      </c>
      <c r="J63" s="3"/>
    </row>
    <row r="64" spans="2:10" x14ac:dyDescent="0.3">
      <c r="B64" s="3">
        <v>35</v>
      </c>
      <c r="C64" s="3">
        <f t="shared" si="5"/>
        <v>34.435841430422165</v>
      </c>
      <c r="D64" s="22">
        <f t="shared" si="4"/>
        <v>0.34435841430422165</v>
      </c>
      <c r="E64" s="3"/>
      <c r="F64" s="3"/>
      <c r="G64" s="3">
        <v>35</v>
      </c>
      <c r="H64" s="3">
        <f t="shared" si="3"/>
        <v>34.435841430422165</v>
      </c>
      <c r="I64" s="22">
        <f t="shared" si="1"/>
        <v>0.34435841430422165</v>
      </c>
      <c r="J64" s="3"/>
    </row>
    <row r="65" spans="2:10" x14ac:dyDescent="0.3">
      <c r="B65" s="3">
        <v>36</v>
      </c>
      <c r="C65" s="3">
        <f t="shared" si="5"/>
        <v>33.402766187509499</v>
      </c>
      <c r="D65" s="22">
        <f t="shared" si="4"/>
        <v>0.33402766187509497</v>
      </c>
      <c r="E65" s="3"/>
      <c r="F65" s="3"/>
      <c r="G65" s="3">
        <v>36</v>
      </c>
      <c r="H65" s="3">
        <f t="shared" si="3"/>
        <v>33.402766187509499</v>
      </c>
      <c r="I65" s="22">
        <f t="shared" si="1"/>
        <v>0.33402766187509497</v>
      </c>
      <c r="J65" s="3"/>
    </row>
    <row r="66" spans="2:10" x14ac:dyDescent="0.3">
      <c r="B66" s="3">
        <v>37</v>
      </c>
      <c r="C66" s="3">
        <f t="shared" si="5"/>
        <v>32.400683201884213</v>
      </c>
      <c r="D66" s="22">
        <f t="shared" si="4"/>
        <v>0.32400683201884212</v>
      </c>
      <c r="E66" s="3"/>
      <c r="F66" s="3"/>
      <c r="G66" s="3">
        <v>37</v>
      </c>
      <c r="H66" s="3">
        <f t="shared" si="3"/>
        <v>32.400683201884213</v>
      </c>
      <c r="I66" s="22">
        <f t="shared" si="1"/>
        <v>0.32400683201884212</v>
      </c>
      <c r="J66" s="3"/>
    </row>
    <row r="67" spans="2:10" x14ac:dyDescent="0.3">
      <c r="B67" s="3">
        <v>38</v>
      </c>
      <c r="C67" s="3">
        <f t="shared" si="5"/>
        <v>31.428662705827687</v>
      </c>
      <c r="D67" s="22">
        <f t="shared" si="4"/>
        <v>0.31428662705827687</v>
      </c>
      <c r="E67" s="3"/>
      <c r="F67" s="3"/>
      <c r="G67" s="3">
        <v>38</v>
      </c>
      <c r="H67" s="3">
        <f t="shared" si="3"/>
        <v>31.428662705827687</v>
      </c>
      <c r="I67" s="22">
        <f t="shared" si="1"/>
        <v>0.31428662705827687</v>
      </c>
      <c r="J67" s="3"/>
    </row>
    <row r="68" spans="2:10" x14ac:dyDescent="0.3">
      <c r="B68" s="3">
        <v>39</v>
      </c>
      <c r="C68" s="3">
        <f t="shared" si="5"/>
        <v>30.485802824652858</v>
      </c>
      <c r="D68" s="22">
        <f t="shared" si="4"/>
        <v>0.30485802824652858</v>
      </c>
      <c r="E68" s="3"/>
      <c r="F68" s="3"/>
      <c r="G68" s="3">
        <v>39</v>
      </c>
      <c r="H68" s="3">
        <f t="shared" si="3"/>
        <v>30.485802824652858</v>
      </c>
      <c r="I68" s="22">
        <f t="shared" si="1"/>
        <v>0.30485802824652858</v>
      </c>
      <c r="J68" s="3"/>
    </row>
    <row r="69" spans="2:10" x14ac:dyDescent="0.3">
      <c r="B69" s="3">
        <v>40</v>
      </c>
      <c r="C69" s="3">
        <f t="shared" si="5"/>
        <v>29.571228739913273</v>
      </c>
      <c r="D69" s="22">
        <f t="shared" si="4"/>
        <v>0.29571228739913274</v>
      </c>
      <c r="E69" s="3"/>
      <c r="F69" s="3"/>
      <c r="G69" s="3">
        <v>40</v>
      </c>
      <c r="H69" s="3">
        <f t="shared" si="3"/>
        <v>29.571228739913273</v>
      </c>
      <c r="I69" s="22">
        <f t="shared" si="1"/>
        <v>0.29571228739913274</v>
      </c>
      <c r="J69" s="3"/>
    </row>
    <row r="70" spans="2:10" x14ac:dyDescent="0.3">
      <c r="B70" s="3">
        <v>41</v>
      </c>
      <c r="C70" s="3">
        <f t="shared" si="5"/>
        <v>28.684091877715876</v>
      </c>
      <c r="D70" s="22">
        <f t="shared" si="4"/>
        <v>0.28684091877715878</v>
      </c>
      <c r="E70" s="3"/>
      <c r="F70" s="3"/>
      <c r="G70" s="3">
        <v>41</v>
      </c>
      <c r="H70" s="3">
        <f t="shared" si="3"/>
        <v>28.684091877715876</v>
      </c>
      <c r="I70" s="22">
        <f t="shared" si="1"/>
        <v>0.28684091877715878</v>
      </c>
      <c r="J70" s="3"/>
    </row>
    <row r="71" spans="2:10" x14ac:dyDescent="0.3">
      <c r="B71" s="3">
        <v>42</v>
      </c>
      <c r="C71" s="3">
        <f t="shared" si="5"/>
        <v>27.823569121384399</v>
      </c>
      <c r="D71" s="22">
        <f t="shared" si="4"/>
        <v>0.27823569121384401</v>
      </c>
      <c r="E71" s="3"/>
      <c r="F71" s="3"/>
      <c r="G71" s="3">
        <v>42</v>
      </c>
      <c r="H71" s="3">
        <f t="shared" si="3"/>
        <v>27.823569121384399</v>
      </c>
      <c r="I71" s="22">
        <f t="shared" si="1"/>
        <v>0.27823569121384401</v>
      </c>
      <c r="J71" s="3"/>
    </row>
    <row r="72" spans="2:10" x14ac:dyDescent="0.3">
      <c r="B72" s="3">
        <v>43</v>
      </c>
      <c r="C72" s="3">
        <f t="shared" si="5"/>
        <v>26.988862047742867</v>
      </c>
      <c r="D72" s="22">
        <f t="shared" si="4"/>
        <v>0.26988862047742868</v>
      </c>
      <c r="E72" s="3"/>
      <c r="F72" s="3"/>
      <c r="G72" s="3">
        <v>43</v>
      </c>
      <c r="H72" s="3">
        <f t="shared" si="3"/>
        <v>26.988862047742867</v>
      </c>
      <c r="I72" s="22">
        <f t="shared" si="1"/>
        <v>0.26988862047742868</v>
      </c>
      <c r="J72" s="3"/>
    </row>
    <row r="73" spans="2:10" x14ac:dyDescent="0.3">
      <c r="B73" s="3">
        <v>44</v>
      </c>
      <c r="C73" s="3">
        <f t="shared" si="5"/>
        <v>26.17919618631058</v>
      </c>
      <c r="D73" s="22">
        <f t="shared" si="4"/>
        <v>0.26179196186310583</v>
      </c>
      <c r="E73" s="3"/>
      <c r="F73" s="3"/>
      <c r="G73" s="3">
        <v>44</v>
      </c>
      <c r="H73" s="3">
        <f t="shared" si="3"/>
        <v>26.17919618631058</v>
      </c>
      <c r="I73" s="22">
        <f t="shared" si="1"/>
        <v>0.26179196186310583</v>
      </c>
      <c r="J73" s="3"/>
    </row>
    <row r="74" spans="2:10" x14ac:dyDescent="0.3">
      <c r="B74" s="3">
        <v>45</v>
      </c>
      <c r="C74" s="3">
        <f t="shared" si="5"/>
        <v>25.393820300721263</v>
      </c>
      <c r="D74" s="22">
        <f t="shared" si="4"/>
        <v>0.25393820300721265</v>
      </c>
      <c r="E74" s="3"/>
      <c r="F74" s="3"/>
      <c r="G74" s="3">
        <v>45</v>
      </c>
      <c r="H74" s="3">
        <f t="shared" si="3"/>
        <v>25.393820300721263</v>
      </c>
      <c r="I74" s="22">
        <f t="shared" si="1"/>
        <v>0.25393820300721265</v>
      </c>
      <c r="J74" s="3"/>
    </row>
    <row r="75" spans="2:10" x14ac:dyDescent="0.3">
      <c r="B75" s="3">
        <v>46</v>
      </c>
      <c r="C75" s="3">
        <f t="shared" si="5"/>
        <v>24.632005691699625</v>
      </c>
      <c r="D75" s="22">
        <f t="shared" si="4"/>
        <v>0.24632005691699624</v>
      </c>
      <c r="E75" s="3"/>
      <c r="F75" s="3"/>
      <c r="G75" s="3">
        <v>46</v>
      </c>
      <c r="H75" s="3">
        <f t="shared" si="3"/>
        <v>24.632005691699625</v>
      </c>
      <c r="I75" s="22">
        <f t="shared" si="1"/>
        <v>0.24632005691699624</v>
      </c>
      <c r="J75" s="3"/>
    </row>
    <row r="76" spans="2:10" x14ac:dyDescent="0.3">
      <c r="B76" s="3">
        <v>47</v>
      </c>
      <c r="C76" s="3">
        <f t="shared" si="5"/>
        <v>23.893045520948636</v>
      </c>
      <c r="D76" s="22">
        <f t="shared" si="4"/>
        <v>0.23893045520948636</v>
      </c>
      <c r="E76" s="3"/>
      <c r="F76" s="3"/>
      <c r="G76" s="3">
        <v>47</v>
      </c>
      <c r="H76" s="3">
        <f t="shared" si="3"/>
        <v>23.893045520948636</v>
      </c>
      <c r="I76" s="22">
        <f t="shared" si="1"/>
        <v>0.23893045520948636</v>
      </c>
      <c r="J76" s="3"/>
    </row>
    <row r="77" spans="2:10" x14ac:dyDescent="0.3">
      <c r="B77" s="3">
        <v>48</v>
      </c>
      <c r="C77" s="3">
        <f t="shared" si="5"/>
        <v>23.176254155320176</v>
      </c>
      <c r="D77" s="22">
        <f t="shared" si="4"/>
        <v>0.23176254155320175</v>
      </c>
      <c r="E77" s="3"/>
      <c r="F77" s="3"/>
      <c r="G77" s="3">
        <v>48</v>
      </c>
      <c r="H77" s="3">
        <f t="shared" si="3"/>
        <v>23.176254155320176</v>
      </c>
      <c r="I77" s="22">
        <f t="shared" si="1"/>
        <v>0.23176254155320175</v>
      </c>
      <c r="J77" s="3"/>
    </row>
    <row r="78" spans="2:10" x14ac:dyDescent="0.3">
      <c r="B78" s="3">
        <v>49</v>
      </c>
      <c r="C78" s="3">
        <f t="shared" si="5"/>
        <v>22.48096653066057</v>
      </c>
      <c r="D78" s="22">
        <f t="shared" si="4"/>
        <v>0.2248096653066057</v>
      </c>
      <c r="E78" s="3"/>
      <c r="F78" s="3"/>
      <c r="G78" s="3">
        <v>49</v>
      </c>
      <c r="H78" s="3">
        <f t="shared" si="3"/>
        <v>22.48096653066057</v>
      </c>
      <c r="I78" s="22">
        <f t="shared" si="1"/>
        <v>0.2248096653066057</v>
      </c>
      <c r="J78" s="3"/>
    </row>
    <row r="79" spans="2:10" x14ac:dyDescent="0.3">
      <c r="B79" s="3">
        <v>50</v>
      </c>
      <c r="C79" s="3">
        <f t="shared" si="5"/>
        <v>21.806537534740752</v>
      </c>
      <c r="D79" s="22">
        <f t="shared" si="4"/>
        <v>0.21806537534740753</v>
      </c>
      <c r="E79" s="3"/>
      <c r="F79" s="3"/>
      <c r="G79" s="3">
        <v>50</v>
      </c>
      <c r="H79" s="3">
        <f t="shared" si="3"/>
        <v>21.806537534740752</v>
      </c>
      <c r="I79" s="22">
        <f t="shared" si="1"/>
        <v>0.21806537534740753</v>
      </c>
      <c r="J79" s="3"/>
    </row>
    <row r="80" spans="2:10" x14ac:dyDescent="0.3">
      <c r="B80" s="3">
        <v>51</v>
      </c>
      <c r="C80" s="3">
        <f t="shared" si="5"/>
        <v>21.152341408698529</v>
      </c>
      <c r="D80" s="22">
        <f t="shared" si="4"/>
        <v>0.2115234140869853</v>
      </c>
      <c r="E80" s="3"/>
      <c r="F80" s="3"/>
      <c r="G80" s="3">
        <v>51</v>
      </c>
      <c r="H80" s="3">
        <f t="shared" si="3"/>
        <v>21.152341408698529</v>
      </c>
      <c r="I80" s="22">
        <f t="shared" si="1"/>
        <v>0.2115234140869853</v>
      </c>
      <c r="J80" s="3"/>
    </row>
    <row r="81" spans="2:10" x14ac:dyDescent="0.3">
      <c r="B81" s="3">
        <v>52</v>
      </c>
      <c r="C81" s="3">
        <f t="shared" si="5"/>
        <v>20.517771166437573</v>
      </c>
      <c r="D81" s="22">
        <f t="shared" si="4"/>
        <v>0.20517771166437573</v>
      </c>
      <c r="E81" s="3"/>
      <c r="F81" s="3"/>
      <c r="G81" s="3">
        <v>52</v>
      </c>
      <c r="H81" s="3">
        <f t="shared" si="3"/>
        <v>20.517771166437573</v>
      </c>
      <c r="I81" s="22">
        <f t="shared" si="1"/>
        <v>0.20517771166437573</v>
      </c>
      <c r="J81" s="3"/>
    </row>
    <row r="82" spans="2:10" x14ac:dyDescent="0.3">
      <c r="B82" s="3">
        <v>53</v>
      </c>
      <c r="C82" s="3">
        <f t="shared" si="5"/>
        <v>19.902238031444444</v>
      </c>
      <c r="D82" s="22">
        <f t="shared" si="4"/>
        <v>0.19902238031444444</v>
      </c>
      <c r="E82" s="3"/>
      <c r="F82" s="3"/>
      <c r="G82" s="3">
        <v>53</v>
      </c>
      <c r="H82" s="3">
        <f t="shared" si="3"/>
        <v>19.902238031444444</v>
      </c>
      <c r="I82" s="22">
        <f t="shared" si="1"/>
        <v>0.19902238031444444</v>
      </c>
      <c r="J82" s="3"/>
    </row>
    <row r="83" spans="2:10" x14ac:dyDescent="0.3">
      <c r="B83" s="3">
        <v>54</v>
      </c>
      <c r="C83" s="3">
        <f t="shared" si="5"/>
        <v>19.30517089050111</v>
      </c>
      <c r="D83" s="22">
        <f t="shared" si="4"/>
        <v>0.19305170890501111</v>
      </c>
      <c r="E83" s="3"/>
      <c r="F83" s="3"/>
      <c r="G83" s="3">
        <v>54</v>
      </c>
      <c r="H83" s="3">
        <f t="shared" si="3"/>
        <v>19.30517089050111</v>
      </c>
      <c r="I83" s="22">
        <f t="shared" si="1"/>
        <v>0.19305170890501111</v>
      </c>
      <c r="J83" s="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284C9-A10B-42C9-A250-3EE98EE20CCB}">
  <sheetPr codeName="Sheet6">
    <tabColor theme="4" tint="0.89999084444715716"/>
  </sheetPr>
  <dimension ref="B2:L54"/>
  <sheetViews>
    <sheetView showGridLines="0" zoomScale="85" zoomScaleNormal="85" workbookViewId="0"/>
  </sheetViews>
  <sheetFormatPr defaultRowHeight="14" x14ac:dyDescent="0.3"/>
  <cols>
    <col min="2" max="2" width="49.1640625" customWidth="1"/>
    <col min="3" max="4" width="21.1640625" customWidth="1"/>
    <col min="5" max="5" width="23" customWidth="1"/>
    <col min="6" max="6" width="19" bestFit="1" customWidth="1"/>
    <col min="7" max="8" width="35.08203125" customWidth="1"/>
    <col min="9" max="9" width="36.9140625" customWidth="1"/>
    <col min="10" max="11" width="64.9140625" bestFit="1" customWidth="1"/>
  </cols>
  <sheetData>
    <row r="2" spans="2:9" ht="20" x14ac:dyDescent="0.4">
      <c r="B2" s="242" t="s">
        <v>493</v>
      </c>
      <c r="C2" s="265"/>
      <c r="D2" s="265"/>
      <c r="E2" s="265"/>
      <c r="F2" s="265"/>
      <c r="G2" s="265"/>
      <c r="H2" s="265"/>
      <c r="I2" s="265"/>
    </row>
    <row r="3" spans="2:9" x14ac:dyDescent="0.3">
      <c r="B3" t="s">
        <v>527</v>
      </c>
    </row>
    <row r="5" spans="2:9" ht="42" x14ac:dyDescent="0.3">
      <c r="B5" s="132" t="s">
        <v>484</v>
      </c>
      <c r="C5" s="264" t="s">
        <v>487</v>
      </c>
      <c r="D5" s="315"/>
    </row>
    <row r="6" spans="2:9" x14ac:dyDescent="0.3">
      <c r="B6" s="261" t="s">
        <v>488</v>
      </c>
      <c r="C6" s="255">
        <f t="shared" ref="C6:C13" si="0">SUM(I21,J40)</f>
        <v>23.781695930878264</v>
      </c>
      <c r="D6" s="301"/>
    </row>
    <row r="7" spans="2:9" x14ac:dyDescent="0.3">
      <c r="B7" s="261" t="s">
        <v>489</v>
      </c>
      <c r="C7" s="255">
        <f t="shared" si="0"/>
        <v>16.226558516102649</v>
      </c>
      <c r="D7" s="316"/>
    </row>
    <row r="8" spans="2:9" ht="14.5" x14ac:dyDescent="0.35">
      <c r="B8" s="261" t="s">
        <v>6</v>
      </c>
      <c r="C8" s="255">
        <f t="shared" si="0"/>
        <v>15.538992477284744</v>
      </c>
      <c r="D8" s="329" t="s">
        <v>543</v>
      </c>
    </row>
    <row r="9" spans="2:9" x14ac:dyDescent="0.3">
      <c r="B9" s="261" t="s">
        <v>633</v>
      </c>
      <c r="C9" s="255">
        <f t="shared" si="0"/>
        <v>9.9090399711992774</v>
      </c>
      <c r="D9" s="301"/>
      <c r="E9" s="99"/>
    </row>
    <row r="10" spans="2:9" x14ac:dyDescent="0.3">
      <c r="B10" s="261" t="s">
        <v>490</v>
      </c>
      <c r="C10" s="255">
        <f t="shared" si="0"/>
        <v>7.8382528425241622</v>
      </c>
      <c r="D10" s="301"/>
      <c r="E10" s="99"/>
    </row>
    <row r="11" spans="2:9" x14ac:dyDescent="0.3">
      <c r="B11" s="261" t="s">
        <v>491</v>
      </c>
      <c r="C11" s="255">
        <f t="shared" si="0"/>
        <v>6.7300581681941205</v>
      </c>
      <c r="D11" s="301"/>
      <c r="E11" s="99"/>
    </row>
    <row r="12" spans="2:9" x14ac:dyDescent="0.3">
      <c r="B12" s="261" t="s">
        <v>492</v>
      </c>
      <c r="C12" s="255">
        <f>SUM(I27,J46)</f>
        <v>3.2760499496618012</v>
      </c>
      <c r="D12" s="301"/>
    </row>
    <row r="13" spans="2:9" x14ac:dyDescent="0.3">
      <c r="B13" s="264" t="s">
        <v>181</v>
      </c>
      <c r="C13" s="274">
        <f t="shared" si="0"/>
        <v>83.300647855845014</v>
      </c>
      <c r="D13" s="301"/>
    </row>
    <row r="18" spans="2:10" x14ac:dyDescent="0.3">
      <c r="B18" s="237" t="s">
        <v>467</v>
      </c>
      <c r="C18" s="139"/>
      <c r="D18" s="139"/>
      <c r="E18" s="139"/>
      <c r="F18" s="139"/>
      <c r="G18" s="139"/>
      <c r="H18" s="139"/>
      <c r="I18" s="139"/>
    </row>
    <row r="20" spans="2:10" ht="42" x14ac:dyDescent="0.3">
      <c r="B20" s="43" t="s">
        <v>484</v>
      </c>
      <c r="C20" s="43" t="s">
        <v>485</v>
      </c>
      <c r="D20" s="43" t="s">
        <v>579</v>
      </c>
      <c r="E20" s="253" t="s">
        <v>184</v>
      </c>
      <c r="F20" s="253" t="s">
        <v>185</v>
      </c>
      <c r="G20" s="253" t="s">
        <v>201</v>
      </c>
      <c r="H20" s="330" t="s">
        <v>536</v>
      </c>
      <c r="I20" s="253" t="s">
        <v>486</v>
      </c>
      <c r="J20" s="315" t="s">
        <v>580</v>
      </c>
    </row>
    <row r="21" spans="2:10" x14ac:dyDescent="0.3">
      <c r="B21" s="261" t="s">
        <v>468</v>
      </c>
      <c r="C21" s="255">
        <v>294</v>
      </c>
      <c r="D21" s="255">
        <f>C21*1.08</f>
        <v>317.52000000000004</v>
      </c>
      <c r="E21" s="263">
        <f>'Consumption metric inputs'!$E$31</f>
        <v>10460000</v>
      </c>
      <c r="F21" s="303">
        <f t="shared" ref="F21:F28" si="1">(D21*10^9)/E21</f>
        <v>30355.640535372855</v>
      </c>
      <c r="G21" s="263">
        <v>722000</v>
      </c>
      <c r="H21" s="111">
        <v>0.8</v>
      </c>
      <c r="I21" s="331">
        <f>G21*F21/(10^9)*H21</f>
        <v>17.533417973231362</v>
      </c>
      <c r="J21" t="s">
        <v>581</v>
      </c>
    </row>
    <row r="22" spans="2:10" ht="28" x14ac:dyDescent="0.3">
      <c r="B22" s="261" t="s">
        <v>469</v>
      </c>
      <c r="C22" s="255">
        <v>200.6</v>
      </c>
      <c r="D22" s="255">
        <f t="shared" ref="D22:D27" si="2">C22*1.08</f>
        <v>216.648</v>
      </c>
      <c r="E22" s="263">
        <f>'Consumption metric inputs'!$E$31</f>
        <v>10460000</v>
      </c>
      <c r="F22" s="303">
        <f t="shared" si="1"/>
        <v>20712.045889101337</v>
      </c>
      <c r="G22" s="263">
        <v>722000</v>
      </c>
      <c r="H22" s="111">
        <v>0.8</v>
      </c>
      <c r="I22" s="224">
        <f t="shared" ref="I22:I28" si="3">G22*F22/(10^9)*H22</f>
        <v>11.963277705544932</v>
      </c>
      <c r="J22" t="s">
        <v>582</v>
      </c>
    </row>
    <row r="23" spans="2:10" ht="28" x14ac:dyDescent="0.3">
      <c r="B23" s="261" t="s">
        <v>470</v>
      </c>
      <c r="C23" s="255">
        <v>192.1</v>
      </c>
      <c r="D23" s="255">
        <f t="shared" si="2"/>
        <v>207.46800000000002</v>
      </c>
      <c r="E23" s="263">
        <f>'Consumption metric inputs'!$E$31</f>
        <v>10460000</v>
      </c>
      <c r="F23" s="303">
        <f t="shared" si="1"/>
        <v>19834.416826003828</v>
      </c>
      <c r="G23" s="263">
        <v>722000</v>
      </c>
      <c r="H23" s="111">
        <v>0.8</v>
      </c>
      <c r="I23" s="224">
        <f t="shared" si="3"/>
        <v>11.456359158699811</v>
      </c>
      <c r="J23" t="s">
        <v>583</v>
      </c>
    </row>
    <row r="24" spans="2:10" ht="28" x14ac:dyDescent="0.3">
      <c r="B24" s="261" t="s">
        <v>634</v>
      </c>
      <c r="C24" s="255">
        <v>122.5</v>
      </c>
      <c r="D24" s="255">
        <f t="shared" si="2"/>
        <v>132.30000000000001</v>
      </c>
      <c r="E24" s="263">
        <f>'Consumption metric inputs'!$E$31</f>
        <v>10460000</v>
      </c>
      <c r="F24" s="303">
        <f t="shared" si="1"/>
        <v>12648.183556405354</v>
      </c>
      <c r="G24" s="263">
        <v>722000</v>
      </c>
      <c r="H24" s="111">
        <v>0.8</v>
      </c>
      <c r="I24" s="224">
        <f t="shared" si="3"/>
        <v>7.3055908221797345</v>
      </c>
      <c r="J24" t="s">
        <v>584</v>
      </c>
    </row>
    <row r="25" spans="2:10" ht="28" x14ac:dyDescent="0.3">
      <c r="B25" s="261" t="s">
        <v>471</v>
      </c>
      <c r="C25" s="255">
        <v>96.9</v>
      </c>
      <c r="D25" s="255">
        <f t="shared" si="2"/>
        <v>104.65200000000002</v>
      </c>
      <c r="E25" s="263">
        <f>'Consumption metric inputs'!$E$31</f>
        <v>10460000</v>
      </c>
      <c r="F25" s="303">
        <f t="shared" si="1"/>
        <v>10004.971319311664</v>
      </c>
      <c r="G25" s="263">
        <v>722000</v>
      </c>
      <c r="H25" s="111">
        <v>0.8</v>
      </c>
      <c r="I25" s="224">
        <f t="shared" si="3"/>
        <v>5.7788714340344178</v>
      </c>
      <c r="J25" t="s">
        <v>585</v>
      </c>
    </row>
    <row r="26" spans="2:10" x14ac:dyDescent="0.3">
      <c r="B26" s="261" t="s">
        <v>473</v>
      </c>
      <c r="C26" s="255">
        <v>83.2</v>
      </c>
      <c r="D26" s="255">
        <f t="shared" si="2"/>
        <v>89.856000000000009</v>
      </c>
      <c r="E26" s="263">
        <f>'Consumption metric inputs'!$E$31</f>
        <v>10460000</v>
      </c>
      <c r="F26" s="303">
        <f t="shared" si="1"/>
        <v>8590.4397705544943</v>
      </c>
      <c r="G26" s="263">
        <v>722000</v>
      </c>
      <c r="H26" s="111">
        <v>0.8</v>
      </c>
      <c r="I26" s="224">
        <f t="shared" si="3"/>
        <v>4.9618380114722758</v>
      </c>
      <c r="J26" t="s">
        <v>586</v>
      </c>
    </row>
    <row r="27" spans="2:10" ht="28" x14ac:dyDescent="0.3">
      <c r="B27" s="261" t="s">
        <v>472</v>
      </c>
      <c r="C27" s="255">
        <v>40.5</v>
      </c>
      <c r="D27" s="255">
        <f t="shared" si="2"/>
        <v>43.74</v>
      </c>
      <c r="E27" s="263">
        <f>'Consumption metric inputs'!$E$31</f>
        <v>10460000</v>
      </c>
      <c r="F27" s="303">
        <f t="shared" si="1"/>
        <v>4181.6443594646271</v>
      </c>
      <c r="G27" s="263">
        <v>722000</v>
      </c>
      <c r="H27" s="111">
        <v>0.8</v>
      </c>
      <c r="I27" s="224">
        <f t="shared" si="3"/>
        <v>2.4153177820267686</v>
      </c>
      <c r="J27" t="s">
        <v>587</v>
      </c>
    </row>
    <row r="28" spans="2:10" x14ac:dyDescent="0.3">
      <c r="B28" s="134" t="s">
        <v>181</v>
      </c>
      <c r="C28" s="266">
        <f>SUM(C21:C27)</f>
        <v>1029.8000000000002</v>
      </c>
      <c r="D28" s="266">
        <f>SUM(D21:D27)</f>
        <v>1112.184</v>
      </c>
      <c r="E28" s="267">
        <f>'Consumption metric inputs'!$E$31</f>
        <v>10460000</v>
      </c>
      <c r="F28" s="304">
        <f t="shared" si="1"/>
        <v>106327.34225621415</v>
      </c>
      <c r="G28" s="267">
        <v>722000</v>
      </c>
      <c r="H28" s="287">
        <v>0.8</v>
      </c>
      <c r="I28" s="268">
        <f t="shared" si="3"/>
        <v>61.414672887189298</v>
      </c>
    </row>
    <row r="32" spans="2:10" x14ac:dyDescent="0.3">
      <c r="B32" s="69" t="s">
        <v>494</v>
      </c>
      <c r="C32" s="70"/>
      <c r="D32" s="70"/>
      <c r="E32" s="70"/>
      <c r="F32" s="70"/>
      <c r="G32" s="70"/>
      <c r="H32" s="70"/>
      <c r="I32" s="70"/>
    </row>
    <row r="34" spans="2:12" x14ac:dyDescent="0.3">
      <c r="B34" s="43" t="s">
        <v>79</v>
      </c>
      <c r="C34" s="43" t="s">
        <v>117</v>
      </c>
      <c r="D34" s="217"/>
    </row>
    <row r="35" spans="2:12" x14ac:dyDescent="0.3">
      <c r="B35" s="261" t="s">
        <v>80</v>
      </c>
      <c r="C35" s="257">
        <v>29.6</v>
      </c>
      <c r="D35" s="302"/>
    </row>
    <row r="36" spans="2:12" x14ac:dyDescent="0.3">
      <c r="B36" s="261" t="s">
        <v>81</v>
      </c>
      <c r="C36" s="257">
        <v>14.77</v>
      </c>
      <c r="D36" s="302"/>
    </row>
    <row r="37" spans="2:12" x14ac:dyDescent="0.3">
      <c r="B37" s="261" t="s">
        <v>476</v>
      </c>
      <c r="C37" s="111">
        <f>(C35-C36)/C35</f>
        <v>0.50101351351351353</v>
      </c>
      <c r="D37" s="258"/>
    </row>
    <row r="39" spans="2:12" ht="42" x14ac:dyDescent="0.3">
      <c r="B39" s="43" t="s">
        <v>484</v>
      </c>
      <c r="C39" s="43" t="s">
        <v>485</v>
      </c>
      <c r="D39" s="43" t="s">
        <v>579</v>
      </c>
      <c r="E39" s="253" t="s">
        <v>184</v>
      </c>
      <c r="F39" s="253" t="s">
        <v>590</v>
      </c>
      <c r="G39" s="253" t="s">
        <v>588</v>
      </c>
      <c r="H39" s="253" t="s">
        <v>536</v>
      </c>
      <c r="I39" s="253" t="s">
        <v>595</v>
      </c>
      <c r="J39" s="253" t="s">
        <v>589</v>
      </c>
      <c r="K39" s="332" t="s">
        <v>580</v>
      </c>
      <c r="L39" s="48"/>
    </row>
    <row r="40" spans="2:12" x14ac:dyDescent="0.3">
      <c r="B40" s="261" t="s">
        <v>468</v>
      </c>
      <c r="C40" s="305">
        <v>294</v>
      </c>
      <c r="D40" s="305">
        <f>C40*1.08</f>
        <v>317.52000000000004</v>
      </c>
      <c r="E40" s="263">
        <f>'Consumption metric inputs'!$E$31</f>
        <v>10460000</v>
      </c>
      <c r="F40" s="305">
        <f t="shared" ref="F40:F47" si="4">(D40*10^9)/E40</f>
        <v>30355.640535372855</v>
      </c>
      <c r="G40" s="263">
        <f t="shared" ref="G40:G47" si="5">G21*$C$37</f>
        <v>361731.75675675675</v>
      </c>
      <c r="H40" s="111">
        <v>0.8</v>
      </c>
      <c r="I40" s="111">
        <f>$C$54</f>
        <v>0.71128608923884518</v>
      </c>
      <c r="J40" s="305">
        <f>G40*F40/(10^9)*H40*I40</f>
        <v>6.248277957646903</v>
      </c>
      <c r="K40" t="s">
        <v>581</v>
      </c>
    </row>
    <row r="41" spans="2:12" ht="28" x14ac:dyDescent="0.3">
      <c r="B41" s="261" t="s">
        <v>469</v>
      </c>
      <c r="C41" s="305">
        <v>200.6</v>
      </c>
      <c r="D41" s="305">
        <f t="shared" ref="D41:D46" si="6">C41*1.08</f>
        <v>216.648</v>
      </c>
      <c r="E41" s="263">
        <f>'Consumption metric inputs'!$E$31</f>
        <v>10460000</v>
      </c>
      <c r="F41" s="305">
        <f t="shared" si="4"/>
        <v>20712.045889101337</v>
      </c>
      <c r="G41" s="263">
        <f t="shared" si="5"/>
        <v>361731.75675675675</v>
      </c>
      <c r="H41" s="111">
        <v>0.8</v>
      </c>
      <c r="I41" s="111">
        <f t="shared" ref="I41:I47" si="7">$C$54</f>
        <v>0.71128608923884518</v>
      </c>
      <c r="J41" s="305">
        <f t="shared" ref="J41:J46" si="8">G41*F41/(10^9)*H41*I41</f>
        <v>4.263280810557716</v>
      </c>
      <c r="K41" t="s">
        <v>582</v>
      </c>
    </row>
    <row r="42" spans="2:12" ht="28" x14ac:dyDescent="0.3">
      <c r="B42" s="261" t="s">
        <v>470</v>
      </c>
      <c r="C42" s="305">
        <v>192.1</v>
      </c>
      <c r="D42" s="305">
        <f t="shared" si="6"/>
        <v>207.46800000000002</v>
      </c>
      <c r="E42" s="263">
        <f>'Consumption metric inputs'!$E$31</f>
        <v>10460000</v>
      </c>
      <c r="F42" s="305">
        <f t="shared" si="4"/>
        <v>19834.416826003828</v>
      </c>
      <c r="G42" s="263">
        <f t="shared" si="5"/>
        <v>361731.75675675675</v>
      </c>
      <c r="H42" s="111">
        <v>0.8</v>
      </c>
      <c r="I42" s="111">
        <f t="shared" si="7"/>
        <v>0.71128608923884518</v>
      </c>
      <c r="J42" s="305">
        <f t="shared" si="8"/>
        <v>4.0826333185849322</v>
      </c>
      <c r="K42" t="s">
        <v>583</v>
      </c>
    </row>
    <row r="43" spans="2:12" ht="28" x14ac:dyDescent="0.3">
      <c r="B43" s="261" t="s">
        <v>634</v>
      </c>
      <c r="C43" s="305">
        <v>122.5</v>
      </c>
      <c r="D43" s="305">
        <f t="shared" si="6"/>
        <v>132.30000000000001</v>
      </c>
      <c r="E43" s="263">
        <f>'Consumption metric inputs'!$E$31</f>
        <v>10460000</v>
      </c>
      <c r="F43" s="305">
        <f t="shared" si="4"/>
        <v>12648.183556405354</v>
      </c>
      <c r="G43" s="263">
        <f t="shared" si="5"/>
        <v>361731.75675675675</v>
      </c>
      <c r="H43" s="111">
        <v>0.8</v>
      </c>
      <c r="I43" s="111">
        <f t="shared" si="7"/>
        <v>0.71128608923884518</v>
      </c>
      <c r="J43" s="305">
        <f t="shared" si="8"/>
        <v>2.6034491490195428</v>
      </c>
      <c r="K43" t="s">
        <v>584</v>
      </c>
    </row>
    <row r="44" spans="2:12" ht="28" x14ac:dyDescent="0.3">
      <c r="B44" s="261" t="s">
        <v>471</v>
      </c>
      <c r="C44" s="305">
        <v>96.9</v>
      </c>
      <c r="D44" s="305">
        <f t="shared" si="6"/>
        <v>104.65200000000002</v>
      </c>
      <c r="E44" s="263">
        <f>'Consumption metric inputs'!$E$31</f>
        <v>10460000</v>
      </c>
      <c r="F44" s="305">
        <f t="shared" si="4"/>
        <v>10004.971319311664</v>
      </c>
      <c r="G44" s="263">
        <f t="shared" si="5"/>
        <v>361731.75675675675</v>
      </c>
      <c r="H44" s="111">
        <v>0.8</v>
      </c>
      <c r="I44" s="111">
        <f t="shared" si="7"/>
        <v>0.71128608923884518</v>
      </c>
      <c r="J44" s="305">
        <f t="shared" si="8"/>
        <v>2.0593814084897444</v>
      </c>
      <c r="K44" t="s">
        <v>585</v>
      </c>
    </row>
    <row r="45" spans="2:12" x14ac:dyDescent="0.3">
      <c r="B45" s="261" t="s">
        <v>473</v>
      </c>
      <c r="C45" s="305">
        <v>83.2</v>
      </c>
      <c r="D45" s="305">
        <f t="shared" si="6"/>
        <v>89.856000000000009</v>
      </c>
      <c r="E45" s="263">
        <f>'Consumption metric inputs'!$E$31</f>
        <v>10460000</v>
      </c>
      <c r="F45" s="305">
        <f t="shared" si="4"/>
        <v>8590.4397705544943</v>
      </c>
      <c r="G45" s="263">
        <f t="shared" si="5"/>
        <v>361731.75675675675</v>
      </c>
      <c r="H45" s="111">
        <v>0.8</v>
      </c>
      <c r="I45" s="111">
        <f t="shared" si="7"/>
        <v>0.71128608923884518</v>
      </c>
      <c r="J45" s="305">
        <f t="shared" si="8"/>
        <v>1.7682201567218447</v>
      </c>
      <c r="K45" t="s">
        <v>586</v>
      </c>
    </row>
    <row r="46" spans="2:12" ht="28" x14ac:dyDescent="0.3">
      <c r="B46" s="261" t="s">
        <v>472</v>
      </c>
      <c r="C46" s="305">
        <v>40.5</v>
      </c>
      <c r="D46" s="305">
        <f t="shared" si="6"/>
        <v>43.74</v>
      </c>
      <c r="E46" s="263">
        <f>'Consumption metric inputs'!$E$31</f>
        <v>10460000</v>
      </c>
      <c r="F46" s="305">
        <f t="shared" si="4"/>
        <v>4181.6443594646271</v>
      </c>
      <c r="G46" s="263">
        <f t="shared" si="5"/>
        <v>361731.75675675675</v>
      </c>
      <c r="H46" s="111">
        <v>0.8</v>
      </c>
      <c r="I46" s="111">
        <f t="shared" si="7"/>
        <v>0.71128608923884518</v>
      </c>
      <c r="J46" s="305">
        <f t="shared" si="8"/>
        <v>0.86073216763503246</v>
      </c>
      <c r="K46" t="s">
        <v>587</v>
      </c>
    </row>
    <row r="47" spans="2:12" x14ac:dyDescent="0.3">
      <c r="B47" s="269" t="s">
        <v>181</v>
      </c>
      <c r="C47" s="333">
        <f>SUM(C40:C46)</f>
        <v>1029.8000000000002</v>
      </c>
      <c r="D47" s="333">
        <f>SUM(D40:D46)</f>
        <v>1112.184</v>
      </c>
      <c r="E47" s="270">
        <f>'Consumption metric inputs'!$E$31</f>
        <v>10460000</v>
      </c>
      <c r="F47" s="333">
        <f t="shared" si="4"/>
        <v>106327.34225621415</v>
      </c>
      <c r="G47" s="262">
        <f t="shared" si="5"/>
        <v>361731.75675675675</v>
      </c>
      <c r="H47" s="288">
        <v>0.8</v>
      </c>
      <c r="I47" s="288">
        <f t="shared" si="7"/>
        <v>0.71128608923884518</v>
      </c>
      <c r="J47" s="333">
        <f>G47*F47/(10^9)*H47*I47</f>
        <v>21.885974968655713</v>
      </c>
    </row>
    <row r="50" spans="2:3" x14ac:dyDescent="0.3">
      <c r="B50" s="88" t="s">
        <v>594</v>
      </c>
      <c r="C50" s="88"/>
    </row>
    <row r="51" spans="2:3" x14ac:dyDescent="0.3">
      <c r="B51" s="43" t="s">
        <v>79</v>
      </c>
      <c r="C51" s="43" t="s">
        <v>117</v>
      </c>
    </row>
    <row r="52" spans="2:3" x14ac:dyDescent="0.3">
      <c r="B52" s="261" t="s">
        <v>591</v>
      </c>
      <c r="C52" s="305">
        <v>3.81</v>
      </c>
    </row>
    <row r="53" spans="2:3" x14ac:dyDescent="0.3">
      <c r="B53" s="261" t="s">
        <v>592</v>
      </c>
      <c r="C53" s="305">
        <v>2.71</v>
      </c>
    </row>
    <row r="54" spans="2:3" x14ac:dyDescent="0.3">
      <c r="B54" s="261" t="s">
        <v>593</v>
      </c>
      <c r="C54" s="111">
        <f>C53/C52</f>
        <v>0.71128608923884518</v>
      </c>
    </row>
  </sheetData>
  <phoneticPr fontId="31" type="noConversion"/>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3773A-CE4F-4DF6-83BE-89F3B382ECC7}">
  <sheetPr codeName="Sheet7">
    <tabColor theme="4" tint="0.89999084444715716"/>
  </sheetPr>
  <dimension ref="B2:L106"/>
  <sheetViews>
    <sheetView showGridLines="0" zoomScale="108" zoomScaleNormal="85" workbookViewId="0"/>
  </sheetViews>
  <sheetFormatPr defaultRowHeight="14" x14ac:dyDescent="0.3"/>
  <cols>
    <col min="2" max="2" width="18.6640625" bestFit="1" customWidth="1"/>
    <col min="3" max="3" width="15.83203125" customWidth="1"/>
    <col min="4" max="4" width="22.5" bestFit="1" customWidth="1"/>
    <col min="5" max="5" width="19.6640625" bestFit="1" customWidth="1"/>
    <col min="6" max="6" width="23.6640625" bestFit="1" customWidth="1"/>
    <col min="9" max="9" width="40.08203125" bestFit="1" customWidth="1"/>
    <col min="10" max="10" width="14.1640625" bestFit="1" customWidth="1"/>
    <col min="11" max="11" width="14.1640625" customWidth="1"/>
  </cols>
  <sheetData>
    <row r="2" spans="2:12" s="3" customFormat="1" x14ac:dyDescent="0.3">
      <c r="B2" s="15"/>
      <c r="E2"/>
      <c r="F2"/>
      <c r="J2" s="299"/>
    </row>
    <row r="3" spans="2:12" s="3" customFormat="1" x14ac:dyDescent="0.3">
      <c r="B3" s="88" t="s">
        <v>116</v>
      </c>
      <c r="C3" s="82"/>
      <c r="D3" s="82"/>
      <c r="E3" s="82"/>
      <c r="F3" s="82"/>
      <c r="I3" s="88" t="s">
        <v>577</v>
      </c>
      <c r="J3" s="88"/>
      <c r="K3" s="88"/>
      <c r="L3" s="88"/>
    </row>
    <row r="4" spans="2:12" s="3" customFormat="1" x14ac:dyDescent="0.3">
      <c r="B4" s="4" t="s">
        <v>8</v>
      </c>
      <c r="C4" s="4" t="s">
        <v>7</v>
      </c>
      <c r="D4" s="4" t="s">
        <v>7</v>
      </c>
      <c r="E4" s="4" t="s">
        <v>117</v>
      </c>
      <c r="F4" s="34" t="s">
        <v>14</v>
      </c>
      <c r="I4" s="4" t="s">
        <v>576</v>
      </c>
      <c r="J4" s="4" t="s">
        <v>574</v>
      </c>
      <c r="K4" s="4" t="s">
        <v>573</v>
      </c>
      <c r="L4" s="4" t="s">
        <v>14</v>
      </c>
    </row>
    <row r="5" spans="2:12" s="3" customFormat="1" ht="42" x14ac:dyDescent="0.3">
      <c r="B5" s="459" t="s">
        <v>5</v>
      </c>
      <c r="C5" s="380" t="s">
        <v>629</v>
      </c>
      <c r="D5" s="381" t="s">
        <v>119</v>
      </c>
      <c r="E5" s="382">
        <v>0.35</v>
      </c>
      <c r="F5" s="380" t="s">
        <v>692</v>
      </c>
      <c r="I5" s="26" t="s">
        <v>570</v>
      </c>
      <c r="J5" s="26">
        <v>34.299999999999997</v>
      </c>
      <c r="K5" s="138">
        <v>0.64600000000000002</v>
      </c>
      <c r="L5" s="144" t="s">
        <v>118</v>
      </c>
    </row>
    <row r="6" spans="2:12" s="3" customFormat="1" ht="42" x14ac:dyDescent="0.3">
      <c r="B6" s="459"/>
      <c r="C6" s="380" t="s">
        <v>629</v>
      </c>
      <c r="D6" s="381" t="s">
        <v>120</v>
      </c>
      <c r="E6" s="383">
        <f>AVERAGE(8.9%,9.14%,9.16%,9.43%,6.88%)</f>
        <v>8.7020000000000014E-2</v>
      </c>
      <c r="F6" s="380" t="s">
        <v>118</v>
      </c>
      <c r="I6" s="26" t="s">
        <v>571</v>
      </c>
      <c r="J6" s="26">
        <v>26.1</v>
      </c>
      <c r="K6" s="138">
        <v>0.20300000000000001</v>
      </c>
      <c r="L6" s="144" t="s">
        <v>118</v>
      </c>
    </row>
    <row r="7" spans="2:12" s="3" customFormat="1" ht="56" x14ac:dyDescent="0.3">
      <c r="B7" s="459"/>
      <c r="C7" s="380" t="s">
        <v>629</v>
      </c>
      <c r="D7" s="381" t="s">
        <v>569</v>
      </c>
      <c r="E7" s="384">
        <f>J5*K5+J6*K6+J8*K8</f>
        <v>30.170300000000001</v>
      </c>
      <c r="F7" s="385" t="s">
        <v>118</v>
      </c>
      <c r="I7" s="26" t="s">
        <v>575</v>
      </c>
      <c r="J7" s="26">
        <v>39.5</v>
      </c>
      <c r="K7" s="138">
        <v>6.9000000000000006E-2</v>
      </c>
      <c r="L7" s="144" t="s">
        <v>118</v>
      </c>
    </row>
    <row r="8" spans="2:12" s="3" customFormat="1" ht="28" x14ac:dyDescent="0.3">
      <c r="B8" s="459"/>
      <c r="C8" s="380" t="s">
        <v>629</v>
      </c>
      <c r="D8" s="381" t="s">
        <v>196</v>
      </c>
      <c r="E8" s="381">
        <v>39.5</v>
      </c>
      <c r="F8" s="385" t="s">
        <v>118</v>
      </c>
      <c r="I8" s="26" t="s">
        <v>572</v>
      </c>
      <c r="J8" s="26">
        <v>33.1</v>
      </c>
      <c r="K8" s="138">
        <v>8.2000000000000003E-2</v>
      </c>
      <c r="L8" s="144" t="s">
        <v>118</v>
      </c>
    </row>
    <row r="9" spans="2:12" s="3" customFormat="1" ht="56" x14ac:dyDescent="0.3">
      <c r="B9" s="459"/>
      <c r="C9" s="380" t="s">
        <v>629</v>
      </c>
      <c r="D9" s="381" t="s">
        <v>578</v>
      </c>
      <c r="E9" s="386">
        <f>ABS((80-E7)-(80-E8))/(80-E7)</f>
        <v>0.18723171120837576</v>
      </c>
      <c r="F9" s="380" t="s">
        <v>118</v>
      </c>
    </row>
    <row r="10" spans="2:12" s="3" customFormat="1" ht="42" x14ac:dyDescent="0.3">
      <c r="B10" s="459"/>
      <c r="C10" s="380" t="s">
        <v>629</v>
      </c>
      <c r="D10" s="381" t="s">
        <v>197</v>
      </c>
      <c r="E10" s="381">
        <v>47.5</v>
      </c>
      <c r="F10" s="380" t="s">
        <v>118</v>
      </c>
    </row>
    <row r="11" spans="2:12" s="3" customFormat="1" ht="42" x14ac:dyDescent="0.3">
      <c r="B11" s="459"/>
      <c r="C11" s="380" t="s">
        <v>629</v>
      </c>
      <c r="D11" s="381" t="s">
        <v>200</v>
      </c>
      <c r="E11" s="381">
        <v>51.6</v>
      </c>
      <c r="F11" s="385" t="s">
        <v>118</v>
      </c>
    </row>
    <row r="12" spans="2:12" s="3" customFormat="1" ht="28" x14ac:dyDescent="0.3">
      <c r="B12" s="459"/>
      <c r="C12" s="380" t="s">
        <v>629</v>
      </c>
      <c r="D12" s="381" t="s">
        <v>198</v>
      </c>
      <c r="E12" s="386">
        <f>(ABS(E11-E10)/E10)</f>
        <v>8.6315789473684235E-2</v>
      </c>
      <c r="F12" s="380" t="s">
        <v>118</v>
      </c>
    </row>
    <row r="13" spans="2:12" s="3" customFormat="1" ht="42" hidden="1" x14ac:dyDescent="0.3">
      <c r="B13" s="458" t="s">
        <v>5</v>
      </c>
      <c r="C13" s="387" t="s">
        <v>6</v>
      </c>
      <c r="D13" s="388" t="s">
        <v>188</v>
      </c>
      <c r="E13" s="389">
        <v>35200000</v>
      </c>
      <c r="F13" s="390" t="s">
        <v>189</v>
      </c>
    </row>
    <row r="14" spans="2:12" s="3" customFormat="1" ht="28" hidden="1" x14ac:dyDescent="0.3">
      <c r="B14" s="458"/>
      <c r="C14" s="387" t="s">
        <v>6</v>
      </c>
      <c r="D14" s="388" t="s">
        <v>187</v>
      </c>
      <c r="E14" s="389">
        <v>13000000</v>
      </c>
      <c r="F14" s="387" t="s">
        <v>190</v>
      </c>
    </row>
    <row r="15" spans="2:12" s="3" customFormat="1" ht="42" hidden="1" x14ac:dyDescent="0.3">
      <c r="B15" s="458"/>
      <c r="C15" s="387" t="s">
        <v>6</v>
      </c>
      <c r="D15" s="388" t="s">
        <v>191</v>
      </c>
      <c r="E15" s="391">
        <f>E14/E13</f>
        <v>0.36931818181818182</v>
      </c>
      <c r="F15" s="387"/>
    </row>
    <row r="16" spans="2:12" s="3" customFormat="1" ht="42" hidden="1" x14ac:dyDescent="0.3">
      <c r="B16" s="458"/>
      <c r="C16" s="387" t="s">
        <v>6</v>
      </c>
      <c r="D16" s="388" t="s">
        <v>209</v>
      </c>
      <c r="E16" s="391">
        <v>0.84</v>
      </c>
      <c r="F16" s="387" t="s">
        <v>212</v>
      </c>
    </row>
    <row r="17" spans="2:10" s="3" customFormat="1" ht="56" hidden="1" x14ac:dyDescent="0.3">
      <c r="B17" s="458"/>
      <c r="C17" s="387" t="s">
        <v>6</v>
      </c>
      <c r="D17" s="388" t="s">
        <v>193</v>
      </c>
      <c r="E17" s="391">
        <v>0.5</v>
      </c>
      <c r="F17" s="387"/>
    </row>
    <row r="18" spans="2:10" s="3" customFormat="1" ht="28" hidden="1" x14ac:dyDescent="0.3">
      <c r="B18" s="458"/>
      <c r="C18" s="387" t="s">
        <v>6</v>
      </c>
      <c r="D18" s="388" t="s">
        <v>194</v>
      </c>
      <c r="E18" s="391">
        <f>180/365</f>
        <v>0.49315068493150682</v>
      </c>
      <c r="F18" s="387"/>
    </row>
    <row r="19" spans="2:10" s="3" customFormat="1" ht="70" hidden="1" x14ac:dyDescent="0.3">
      <c r="B19" s="457" t="s">
        <v>210</v>
      </c>
      <c r="C19" s="392" t="s">
        <v>131</v>
      </c>
      <c r="D19" s="393" t="s">
        <v>149</v>
      </c>
      <c r="E19" s="394">
        <v>3.5000000000000001E-3</v>
      </c>
      <c r="F19" s="395" t="s">
        <v>147</v>
      </c>
    </row>
    <row r="20" spans="2:10" s="3" customFormat="1" hidden="1" x14ac:dyDescent="0.3">
      <c r="B20" s="457"/>
      <c r="C20" s="392" t="s">
        <v>131</v>
      </c>
      <c r="D20" s="396" t="s">
        <v>148</v>
      </c>
      <c r="E20" s="397" t="e">
        <f>#REF!</f>
        <v>#REF!</v>
      </c>
      <c r="F20" s="395" t="s">
        <v>213</v>
      </c>
    </row>
    <row r="21" spans="2:10" s="3" customFormat="1" ht="42" hidden="1" x14ac:dyDescent="0.3">
      <c r="B21" s="457"/>
      <c r="C21" s="392" t="s">
        <v>131</v>
      </c>
      <c r="D21" s="393" t="s">
        <v>150</v>
      </c>
      <c r="E21" s="397" t="e">
        <f>E20*E19</f>
        <v>#REF!</v>
      </c>
      <c r="F21" s="398"/>
    </row>
    <row r="22" spans="2:10" s="3" customFormat="1" hidden="1" x14ac:dyDescent="0.3">
      <c r="B22" s="457"/>
      <c r="C22" s="392" t="s">
        <v>131</v>
      </c>
      <c r="D22" s="396" t="s">
        <v>151</v>
      </c>
      <c r="E22" s="399" t="e">
        <f>#REF!*1000000</f>
        <v>#REF!</v>
      </c>
      <c r="F22" s="400" t="s">
        <v>83</v>
      </c>
    </row>
    <row r="23" spans="2:10" s="3" customFormat="1" ht="42" x14ac:dyDescent="0.3">
      <c r="B23" s="151" t="s">
        <v>541</v>
      </c>
      <c r="C23" s="401" t="s">
        <v>182</v>
      </c>
      <c r="D23" s="402" t="s">
        <v>468</v>
      </c>
      <c r="E23" s="403">
        <v>294</v>
      </c>
      <c r="F23" s="404" t="s">
        <v>183</v>
      </c>
    </row>
    <row r="24" spans="2:10" s="3" customFormat="1" ht="56" x14ac:dyDescent="0.3">
      <c r="B24" s="151" t="s">
        <v>541</v>
      </c>
      <c r="C24" s="401" t="s">
        <v>182</v>
      </c>
      <c r="D24" s="402" t="s">
        <v>469</v>
      </c>
      <c r="E24" s="403">
        <v>200.6</v>
      </c>
      <c r="F24" s="404" t="s">
        <v>183</v>
      </c>
    </row>
    <row r="25" spans="2:10" s="3" customFormat="1" ht="42" x14ac:dyDescent="0.3">
      <c r="B25" s="151" t="s">
        <v>541</v>
      </c>
      <c r="C25" s="401" t="s">
        <v>182</v>
      </c>
      <c r="D25" s="402" t="s">
        <v>470</v>
      </c>
      <c r="E25" s="403">
        <v>192.1</v>
      </c>
      <c r="F25" s="404" t="s">
        <v>183</v>
      </c>
    </row>
    <row r="26" spans="2:10" s="3" customFormat="1" ht="56" x14ac:dyDescent="0.3">
      <c r="B26" s="151" t="s">
        <v>541</v>
      </c>
      <c r="C26" s="401" t="s">
        <v>182</v>
      </c>
      <c r="D26" s="402" t="s">
        <v>634</v>
      </c>
      <c r="E26" s="403">
        <v>122.5</v>
      </c>
      <c r="F26" s="404" t="s">
        <v>183</v>
      </c>
    </row>
    <row r="27" spans="2:10" s="3" customFormat="1" ht="42" x14ac:dyDescent="0.3">
      <c r="B27" s="151" t="s">
        <v>541</v>
      </c>
      <c r="C27" s="401" t="s">
        <v>182</v>
      </c>
      <c r="D27" s="402" t="s">
        <v>471</v>
      </c>
      <c r="E27" s="403">
        <v>96.9</v>
      </c>
      <c r="F27" s="404" t="s">
        <v>183</v>
      </c>
    </row>
    <row r="28" spans="2:10" s="3" customFormat="1" ht="28" x14ac:dyDescent="0.3">
      <c r="B28" s="151" t="s">
        <v>541</v>
      </c>
      <c r="C28" s="401" t="s">
        <v>182</v>
      </c>
      <c r="D28" s="402" t="s">
        <v>473</v>
      </c>
      <c r="E28" s="403">
        <v>83.2</v>
      </c>
      <c r="F28" s="404" t="s">
        <v>183</v>
      </c>
    </row>
    <row r="29" spans="2:10" s="3" customFormat="1" ht="42" x14ac:dyDescent="0.3">
      <c r="B29" s="151" t="s">
        <v>541</v>
      </c>
      <c r="C29" s="401" t="s">
        <v>182</v>
      </c>
      <c r="D29" s="402" t="s">
        <v>472</v>
      </c>
      <c r="E29" s="403">
        <v>40.5</v>
      </c>
      <c r="F29" s="404" t="s">
        <v>183</v>
      </c>
    </row>
    <row r="30" spans="2:10" s="3" customFormat="1" ht="28" x14ac:dyDescent="0.3">
      <c r="B30" s="151" t="s">
        <v>541</v>
      </c>
      <c r="C30" s="401" t="s">
        <v>182</v>
      </c>
      <c r="D30" s="402" t="s">
        <v>181</v>
      </c>
      <c r="E30" s="403">
        <f>SUM(E23:E29)</f>
        <v>1029.8000000000002</v>
      </c>
      <c r="F30" s="404" t="s">
        <v>183</v>
      </c>
    </row>
    <row r="31" spans="2:10" s="3" customFormat="1" ht="28" x14ac:dyDescent="0.3">
      <c r="B31" s="151" t="s">
        <v>541</v>
      </c>
      <c r="C31" s="401" t="s">
        <v>182</v>
      </c>
      <c r="D31" s="402" t="s">
        <v>184</v>
      </c>
      <c r="E31" s="405">
        <v>10460000</v>
      </c>
      <c r="F31" s="404" t="s">
        <v>186</v>
      </c>
    </row>
    <row r="32" spans="2:10" s="3" customFormat="1" ht="28" x14ac:dyDescent="0.3">
      <c r="B32" s="151" t="s">
        <v>541</v>
      </c>
      <c r="C32" s="401" t="s">
        <v>182</v>
      </c>
      <c r="D32" s="402" t="s">
        <v>474</v>
      </c>
      <c r="E32" s="403">
        <f>(E30*10^9)/E31</f>
        <v>98451.242829827926</v>
      </c>
      <c r="F32" s="404"/>
      <c r="I32" s="259"/>
      <c r="J32" s="259"/>
    </row>
    <row r="33" spans="2:6" s="3" customFormat="1" ht="42" x14ac:dyDescent="0.3">
      <c r="B33" s="151" t="s">
        <v>541</v>
      </c>
      <c r="C33" s="401" t="s">
        <v>182</v>
      </c>
      <c r="D33" s="402" t="s">
        <v>201</v>
      </c>
      <c r="E33" s="405">
        <v>722000</v>
      </c>
      <c r="F33" s="404" t="s">
        <v>202</v>
      </c>
    </row>
    <row r="34" spans="2:6" s="3" customFormat="1" ht="42" x14ac:dyDescent="0.3">
      <c r="B34" s="151" t="s">
        <v>541</v>
      </c>
      <c r="C34" s="401" t="s">
        <v>182</v>
      </c>
      <c r="D34" s="406" t="s">
        <v>475</v>
      </c>
      <c r="E34" s="407">
        <f>E33*E32/10^9</f>
        <v>71.08179732313576</v>
      </c>
      <c r="F34" s="404"/>
    </row>
    <row r="35" spans="2:6" s="3" customFormat="1" ht="28" x14ac:dyDescent="0.3">
      <c r="B35" s="151" t="s">
        <v>541</v>
      </c>
      <c r="C35" s="401" t="s">
        <v>182</v>
      </c>
      <c r="D35" s="402" t="s">
        <v>80</v>
      </c>
      <c r="E35" s="408">
        <v>29.6</v>
      </c>
      <c r="F35" s="404" t="s">
        <v>83</v>
      </c>
    </row>
    <row r="36" spans="2:6" s="3" customFormat="1" ht="28" x14ac:dyDescent="0.3">
      <c r="B36" s="151" t="s">
        <v>541</v>
      </c>
      <c r="C36" s="401" t="s">
        <v>182</v>
      </c>
      <c r="D36" s="402" t="s">
        <v>81</v>
      </c>
      <c r="E36" s="408">
        <v>14.77</v>
      </c>
      <c r="F36" s="404" t="s">
        <v>83</v>
      </c>
    </row>
    <row r="37" spans="2:6" s="3" customFormat="1" ht="42" x14ac:dyDescent="0.3">
      <c r="B37" s="151" t="s">
        <v>541</v>
      </c>
      <c r="C37" s="401" t="s">
        <v>182</v>
      </c>
      <c r="D37" s="406" t="s">
        <v>499</v>
      </c>
      <c r="E37" s="409">
        <f>(E35-E36)/E35</f>
        <v>0.50101351351351353</v>
      </c>
      <c r="F37" s="404"/>
    </row>
    <row r="38" spans="2:6" s="3" customFormat="1" ht="42" x14ac:dyDescent="0.3">
      <c r="B38" s="151" t="s">
        <v>541</v>
      </c>
      <c r="C38" s="401" t="s">
        <v>182</v>
      </c>
      <c r="D38" s="402" t="s">
        <v>477</v>
      </c>
      <c r="E38" s="403">
        <f>E37*E34</f>
        <v>35.612941023719706</v>
      </c>
      <c r="F38" s="404"/>
    </row>
    <row r="39" spans="2:6" s="3" customFormat="1" ht="42" x14ac:dyDescent="0.3">
      <c r="B39" s="151" t="s">
        <v>541</v>
      </c>
      <c r="C39" s="410" t="s">
        <v>182</v>
      </c>
      <c r="D39" s="411" t="s">
        <v>478</v>
      </c>
      <c r="E39" s="412">
        <f>E38+E34</f>
        <v>106.69473834685547</v>
      </c>
      <c r="F39" s="404"/>
    </row>
    <row r="40" spans="2:6" s="3" customFormat="1" ht="56" x14ac:dyDescent="0.3">
      <c r="B40" s="285" t="s">
        <v>541</v>
      </c>
      <c r="C40" s="413" t="s">
        <v>479</v>
      </c>
      <c r="D40" s="414" t="s">
        <v>480</v>
      </c>
      <c r="E40" s="415">
        <f>SUM(483000,16000)</f>
        <v>499000</v>
      </c>
      <c r="F40" s="416" t="s">
        <v>202</v>
      </c>
    </row>
    <row r="41" spans="2:6" s="3" customFormat="1" ht="42" x14ac:dyDescent="0.3">
      <c r="B41" s="285" t="s">
        <v>541</v>
      </c>
      <c r="C41" s="413" t="s">
        <v>479</v>
      </c>
      <c r="D41" s="414" t="s">
        <v>499</v>
      </c>
      <c r="E41" s="417">
        <f>E37</f>
        <v>0.50101351351351353</v>
      </c>
      <c r="F41" s="416"/>
    </row>
    <row r="42" spans="2:6" s="3" customFormat="1" ht="28" x14ac:dyDescent="0.3">
      <c r="B42" s="285" t="s">
        <v>541</v>
      </c>
      <c r="C42" s="413" t="s">
        <v>479</v>
      </c>
      <c r="D42" s="414" t="s">
        <v>500</v>
      </c>
      <c r="E42" s="415">
        <f>ROUNDUP(E41*E40,0)</f>
        <v>250006</v>
      </c>
      <c r="F42" s="416"/>
    </row>
    <row r="43" spans="2:6" s="3" customFormat="1" ht="28" x14ac:dyDescent="0.3">
      <c r="B43" s="285" t="s">
        <v>541</v>
      </c>
      <c r="C43" s="413" t="s">
        <v>479</v>
      </c>
      <c r="D43" s="414" t="s">
        <v>501</v>
      </c>
      <c r="E43" s="418">
        <f>E42+E40</f>
        <v>749006</v>
      </c>
      <c r="F43" s="416"/>
    </row>
    <row r="44" spans="2:6" s="3" customFormat="1" ht="28" x14ac:dyDescent="0.3">
      <c r="B44" s="285" t="s">
        <v>541</v>
      </c>
      <c r="C44" s="413" t="s">
        <v>479</v>
      </c>
      <c r="D44" s="414" t="s">
        <v>498</v>
      </c>
      <c r="E44" s="415">
        <v>34000000</v>
      </c>
      <c r="F44" s="416" t="s">
        <v>526</v>
      </c>
    </row>
    <row r="45" spans="2:6" s="3" customFormat="1" x14ac:dyDescent="0.3">
      <c r="B45" s="285" t="s">
        <v>541</v>
      </c>
      <c r="C45" s="413" t="s">
        <v>479</v>
      </c>
      <c r="D45" s="414" t="s">
        <v>502</v>
      </c>
      <c r="E45" s="417">
        <f>E43/E44</f>
        <v>2.2029588235294117E-2</v>
      </c>
      <c r="F45" s="416"/>
    </row>
    <row r="46" spans="2:6" s="3" customFormat="1" ht="28" x14ac:dyDescent="0.3">
      <c r="B46" s="285" t="s">
        <v>541</v>
      </c>
      <c r="C46" s="413" t="s">
        <v>479</v>
      </c>
      <c r="D46" s="414" t="s">
        <v>503</v>
      </c>
      <c r="E46" s="415">
        <v>160</v>
      </c>
      <c r="F46" s="416"/>
    </row>
    <row r="47" spans="2:6" s="3" customFormat="1" ht="42" x14ac:dyDescent="0.3">
      <c r="B47" s="285" t="s">
        <v>541</v>
      </c>
      <c r="C47" s="419" t="s">
        <v>479</v>
      </c>
      <c r="D47" s="420" t="s">
        <v>504</v>
      </c>
      <c r="E47" s="421">
        <f>E46*E45</f>
        <v>3.5247341176470588</v>
      </c>
      <c r="F47" s="416"/>
    </row>
    <row r="48" spans="2:6" s="3" customFormat="1" x14ac:dyDescent="0.3"/>
    <row r="49" spans="4:4" s="3" customFormat="1" x14ac:dyDescent="0.3"/>
    <row r="50" spans="4:4" s="3" customFormat="1" x14ac:dyDescent="0.3"/>
    <row r="51" spans="4:4" s="3" customFormat="1" x14ac:dyDescent="0.3">
      <c r="D51" s="260"/>
    </row>
    <row r="52" spans="4:4" s="3" customFormat="1" x14ac:dyDescent="0.3">
      <c r="D52" s="260"/>
    </row>
    <row r="53" spans="4:4" s="3" customFormat="1" x14ac:dyDescent="0.3">
      <c r="D53" s="260"/>
    </row>
    <row r="54" spans="4:4" s="3" customFormat="1" x14ac:dyDescent="0.3">
      <c r="D54" s="260"/>
    </row>
    <row r="55" spans="4:4" s="3" customFormat="1" x14ac:dyDescent="0.3">
      <c r="D55" s="260"/>
    </row>
    <row r="56" spans="4:4" s="3" customFormat="1" x14ac:dyDescent="0.3">
      <c r="D56" s="260"/>
    </row>
    <row r="57" spans="4:4" s="3" customFormat="1" x14ac:dyDescent="0.3">
      <c r="D57" s="260"/>
    </row>
    <row r="58" spans="4:4" s="3" customFormat="1" x14ac:dyDescent="0.3">
      <c r="D58" s="260"/>
    </row>
    <row r="59" spans="4:4" s="3" customFormat="1" x14ac:dyDescent="0.3"/>
    <row r="60" spans="4:4" s="3" customFormat="1" x14ac:dyDescent="0.3">
      <c r="D60" s="107"/>
    </row>
    <row r="61" spans="4:4" s="3" customFormat="1" x14ac:dyDescent="0.3"/>
    <row r="62" spans="4:4" s="3" customFormat="1" x14ac:dyDescent="0.3"/>
    <row r="63" spans="4:4" s="3" customFormat="1" x14ac:dyDescent="0.3"/>
    <row r="64" spans="4: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sheetData>
  <autoFilter ref="B4:F4" xr:uid="{8953773A-CE4F-4DF6-83BE-89F3B382ECC7}"/>
  <mergeCells count="3">
    <mergeCell ref="B19:B22"/>
    <mergeCell ref="B13:B18"/>
    <mergeCell ref="B5:B12"/>
  </mergeCells>
  <hyperlinks>
    <hyperlink ref="F8" r:id="rId1" xr:uid="{002ED762-16D7-42DC-AD15-3A5ED472D2EA}"/>
    <hyperlink ref="F11" r:id="rId2" xr:uid="{6B78A759-B423-40D2-AC91-CC7377D2A591}"/>
    <hyperlink ref="F7" r:id="rId3" xr:uid="{7D29EA2A-65EF-4BE3-9F7E-E12249999C90}"/>
    <hyperlink ref="F19" r:id="rId4" xr:uid="{25EFB002-EE1A-4BA5-8E55-EDFA225B0D97}"/>
    <hyperlink ref="F13" r:id="rId5" location=":~:text=More%20than%2035%20million%20Americans,the%20U.S.%20experience%20food%20insecurity." xr:uid="{8E078864-2E36-4808-9145-A2452CE30A3B}"/>
    <hyperlink ref="F20" r:id="rId6" xr:uid="{EE7D31FE-BF59-489B-B35D-CE22524DFD1D}"/>
    <hyperlink ref="F23" r:id="rId7" xr:uid="{785DAEFF-09AD-4EFF-B19F-988C63F040C0}"/>
    <hyperlink ref="F24:F29" r:id="rId8" display="https://source.wustl.edu/2018/04/childhood-poverty-cost-u-s-1-03-trillion-in-a-year-study-finds/" xr:uid="{52FE18BA-6C3B-4FAA-8F7F-B7DB352F9489}"/>
    <hyperlink ref="F30" r:id="rId9" xr:uid="{647553DD-F7F0-4318-8705-DD8DBCACC875}"/>
    <hyperlink ref="F33" r:id="rId10" xr:uid="{1890C6BF-9442-436F-BE54-CD6F7C45B990}"/>
    <hyperlink ref="F40" r:id="rId11" xr:uid="{B5EF2333-153B-4843-9C7F-8837582D8036}"/>
    <hyperlink ref="F31" r:id="rId12" location=":~:text=The%20Facts%3A,the%20official%20U.S%20poverty%20rate." xr:uid="{E162C876-6CC7-46AA-8E3B-154FB070F21E}"/>
    <hyperlink ref="L5" r:id="rId13" xr:uid="{C2B60B8D-D6C2-4A8F-9B64-F192959C66EC}"/>
    <hyperlink ref="L6" r:id="rId14" xr:uid="{25A8672A-DF41-43AB-9929-689E6881E367}"/>
    <hyperlink ref="L7" r:id="rId15" xr:uid="{3E7C297F-7387-4CE6-B49B-AA8A0065E505}"/>
    <hyperlink ref="L8" r:id="rId16" xr:uid="{182E3B50-BFC4-4972-98A8-EF898CD0C9C7}"/>
  </hyperlinks>
  <pageMargins left="0.7" right="0.7" top="0.75" bottom="0.75" header="0.3" footer="0.3"/>
  <pageSetup orientation="portrait" r:id="rId17"/>
  <drawing r:id="rId18"/>
  <legacyDrawing r:id="rId1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7FF54-820D-4E9B-A877-E16E5B4BD505}">
  <sheetPr codeName="Sheet8">
    <tabColor theme="8" tint="0.59999389629810485"/>
  </sheetPr>
  <dimension ref="B2:K49"/>
  <sheetViews>
    <sheetView showGridLines="0" zoomScale="106" zoomScaleNormal="70" workbookViewId="0"/>
  </sheetViews>
  <sheetFormatPr defaultColWidth="8.6640625" defaultRowHeight="14" x14ac:dyDescent="0.3"/>
  <cols>
    <col min="1" max="1" width="8.6640625" style="3"/>
    <col min="2" max="2" width="17.9140625" style="3" customWidth="1"/>
    <col min="3" max="3" width="26.83203125" style="3" customWidth="1"/>
    <col min="4" max="4" width="13.08203125" style="3" bestFit="1" customWidth="1"/>
    <col min="5" max="5" width="12.08203125" style="3" customWidth="1"/>
    <col min="6" max="6" width="14.58203125" style="3" customWidth="1"/>
    <col min="7" max="7" width="36" style="3" customWidth="1"/>
    <col min="8" max="10" width="8.6640625" style="3"/>
    <col min="11" max="11" width="10.1640625" style="3" bestFit="1" customWidth="1"/>
    <col min="12" max="16384" width="8.6640625" style="3"/>
  </cols>
  <sheetData>
    <row r="2" spans="2:11" x14ac:dyDescent="0.3">
      <c r="B2" s="1" t="s">
        <v>709</v>
      </c>
      <c r="C2" s="1"/>
      <c r="D2" s="2"/>
      <c r="E2" s="2"/>
      <c r="F2" s="2"/>
      <c r="G2" s="2"/>
    </row>
    <row r="3" spans="2:11" customFormat="1" x14ac:dyDescent="0.3"/>
    <row r="4" spans="2:11" customFormat="1" ht="42" x14ac:dyDescent="0.3">
      <c r="B4" s="134" t="s">
        <v>721</v>
      </c>
      <c r="C4" s="135">
        <f>C15-C18</f>
        <v>7.4905875140299507</v>
      </c>
    </row>
    <row r="5" spans="2:11" customFormat="1" x14ac:dyDescent="0.3"/>
    <row r="6" spans="2:11" x14ac:dyDescent="0.3">
      <c r="B6" s="100" t="s">
        <v>180</v>
      </c>
      <c r="C6" s="101"/>
      <c r="D6" s="101"/>
      <c r="E6" s="101"/>
      <c r="F6" s="101"/>
      <c r="G6" s="101"/>
    </row>
    <row r="8" spans="2:11" x14ac:dyDescent="0.3">
      <c r="B8" s="43" t="s">
        <v>8</v>
      </c>
      <c r="C8" s="43" t="s">
        <v>133</v>
      </c>
      <c r="D8"/>
      <c r="K8" s="92"/>
    </row>
    <row r="9" spans="2:11" x14ac:dyDescent="0.3">
      <c r="B9" s="6" t="s">
        <v>12</v>
      </c>
      <c r="C9" s="94">
        <f t="shared" ref="C9:C14" si="0">SUMIFS($F$27:$F$49,$B$27:$B$49,B9)</f>
        <v>4.2714767344513431</v>
      </c>
      <c r="D9"/>
    </row>
    <row r="10" spans="2:11" x14ac:dyDescent="0.3">
      <c r="B10" s="6" t="s">
        <v>1</v>
      </c>
      <c r="C10" s="94">
        <f t="shared" si="0"/>
        <v>0.6065690397851613</v>
      </c>
      <c r="D10"/>
      <c r="K10" s="92"/>
    </row>
    <row r="11" spans="2:11" x14ac:dyDescent="0.3">
      <c r="B11" s="6" t="s">
        <v>3</v>
      </c>
      <c r="C11" s="94">
        <f t="shared" si="0"/>
        <v>0</v>
      </c>
      <c r="D11"/>
    </row>
    <row r="12" spans="2:11" x14ac:dyDescent="0.3">
      <c r="B12" s="6" t="s">
        <v>4</v>
      </c>
      <c r="C12" s="94">
        <f t="shared" si="0"/>
        <v>0</v>
      </c>
      <c r="D12"/>
    </row>
    <row r="13" spans="2:11" x14ac:dyDescent="0.3">
      <c r="B13" s="6" t="s">
        <v>5</v>
      </c>
      <c r="C13" s="94">
        <f t="shared" si="0"/>
        <v>1.6722130852848864</v>
      </c>
      <c r="D13"/>
    </row>
    <row r="14" spans="2:11" x14ac:dyDescent="0.3">
      <c r="B14" s="96" t="s">
        <v>542</v>
      </c>
      <c r="C14" s="94">
        <f t="shared" si="0"/>
        <v>14.031642790268831</v>
      </c>
      <c r="D14"/>
    </row>
    <row r="15" spans="2:11" x14ac:dyDescent="0.3">
      <c r="B15" s="43" t="s">
        <v>72</v>
      </c>
      <c r="C15" s="95">
        <f>SUM(C9:C14)</f>
        <v>20.581901649790222</v>
      </c>
      <c r="D15"/>
    </row>
    <row r="16" spans="2:11" customFormat="1" x14ac:dyDescent="0.3"/>
    <row r="17" spans="2:7" x14ac:dyDescent="0.3">
      <c r="B17" s="86" t="s">
        <v>179</v>
      </c>
      <c r="C17" s="130"/>
      <c r="D17" s="82"/>
      <c r="E17" s="82"/>
      <c r="F17" s="82"/>
      <c r="G17" s="82"/>
    </row>
    <row r="18" spans="2:7" x14ac:dyDescent="0.3">
      <c r="B18" s="119" t="s">
        <v>27</v>
      </c>
      <c r="C18" s="128">
        <f>'L1Maximize Participatio Costs'!C4</f>
        <v>13.091314135760271</v>
      </c>
      <c r="D18" s="119" t="s">
        <v>16</v>
      </c>
      <c r="E18" s="129"/>
      <c r="F18" s="99"/>
      <c r="G18" s="99"/>
    </row>
    <row r="19" spans="2:7" x14ac:dyDescent="0.3">
      <c r="B19" s="119"/>
      <c r="C19" s="128"/>
      <c r="D19" s="119"/>
      <c r="E19" s="129"/>
      <c r="F19" s="99"/>
      <c r="G19" s="99"/>
    </row>
    <row r="20" spans="2:7" customFormat="1" x14ac:dyDescent="0.3">
      <c r="B20" s="131" t="s">
        <v>140</v>
      </c>
      <c r="C20" s="61"/>
      <c r="D20" s="61"/>
      <c r="E20" s="61"/>
      <c r="F20" s="61"/>
      <c r="G20" s="61"/>
    </row>
    <row r="21" spans="2:7" customFormat="1" ht="42" x14ac:dyDescent="0.3">
      <c r="B21" s="109" t="s">
        <v>141</v>
      </c>
      <c r="C21" s="52">
        <f>'L1Maximize Participation Logic'!C2</f>
        <v>0.39798025693035827</v>
      </c>
    </row>
    <row r="22" spans="2:7" customFormat="1" x14ac:dyDescent="0.3"/>
    <row r="23" spans="2:7" x14ac:dyDescent="0.3">
      <c r="B23" s="15"/>
      <c r="C23" s="33"/>
      <c r="D23" s="4"/>
    </row>
    <row r="24" spans="2:7" x14ac:dyDescent="0.3">
      <c r="B24" s="25" t="s">
        <v>36</v>
      </c>
      <c r="C24" s="57"/>
      <c r="D24" s="26"/>
      <c r="E24" s="25"/>
      <c r="F24" s="26"/>
      <c r="G24" s="26"/>
    </row>
    <row r="25" spans="2:7" x14ac:dyDescent="0.3">
      <c r="B25" s="33"/>
      <c r="C25" s="33"/>
      <c r="D25" s="15" t="s">
        <v>16</v>
      </c>
      <c r="F25" s="3" t="s">
        <v>16</v>
      </c>
    </row>
    <row r="26" spans="2:7" ht="56" x14ac:dyDescent="0.3">
      <c r="B26" s="32" t="s">
        <v>8</v>
      </c>
      <c r="C26" s="32" t="s">
        <v>7</v>
      </c>
      <c r="D26" s="31" t="s">
        <v>138</v>
      </c>
      <c r="E26" s="60" t="s">
        <v>142</v>
      </c>
      <c r="F26" s="31" t="s">
        <v>710</v>
      </c>
      <c r="G26" s="31" t="s">
        <v>63</v>
      </c>
    </row>
    <row r="27" spans="2:7" x14ac:dyDescent="0.3">
      <c r="B27" s="19" t="s">
        <v>12</v>
      </c>
      <c r="C27" s="117" t="s">
        <v>17</v>
      </c>
      <c r="D27" s="313">
        <f>INDEX('Baseline with discounts &gt;&gt;&gt;'!$F$17:$F$45,MATCH('L1Maximizing Participation &gt;&gt;&gt;'!C27,'Baseline with discounts &gt;&gt;&gt;'!$C$17:$C$45,0))</f>
        <v>0.38763086563614074</v>
      </c>
      <c r="E27" s="22">
        <f>'L1Maximize Participation Logic'!$C$2</f>
        <v>0.39798025693035827</v>
      </c>
      <c r="F27" s="312">
        <f t="shared" ref="F27:F43" si="1">E27*D27</f>
        <v>0.15426943150000846</v>
      </c>
      <c r="G27" s="3" t="s">
        <v>139</v>
      </c>
    </row>
    <row r="28" spans="2:7" x14ac:dyDescent="0.3">
      <c r="B28" s="19" t="s">
        <v>12</v>
      </c>
      <c r="C28" s="117" t="s">
        <v>18</v>
      </c>
      <c r="D28" s="313">
        <f>INDEX('Baseline with discounts &gt;&gt;&gt;'!$F$17:$F$45,MATCH('L1Maximizing Participation &gt;&gt;&gt;'!C28,'Baseline with discounts &gt;&gt;&gt;'!$C$17:$C$45,0))</f>
        <v>0.10699811888522762</v>
      </c>
      <c r="E28" s="22">
        <f>'L1Maximize Participation Logic'!$C$2</f>
        <v>0.39798025693035827</v>
      </c>
      <c r="F28" s="312">
        <f t="shared" si="1"/>
        <v>4.2583138845007903E-2</v>
      </c>
      <c r="G28" s="3" t="s">
        <v>139</v>
      </c>
    </row>
    <row r="29" spans="2:7" x14ac:dyDescent="0.3">
      <c r="B29" s="19" t="s">
        <v>12</v>
      </c>
      <c r="C29" s="117" t="s">
        <v>0</v>
      </c>
      <c r="D29" s="313">
        <f>INDEX('Baseline with discounts &gt;&gt;&gt;'!$F$17:$F$45,MATCH('L1Maximizing Participation &gt;&gt;&gt;'!C29,'Baseline with discounts &gt;&gt;&gt;'!$C$17:$C$45,0))</f>
        <v>0.22107853057126556</v>
      </c>
      <c r="E29" s="22">
        <f>'L1Maximize Participation Logic'!$C$2</f>
        <v>0.39798025693035827</v>
      </c>
      <c r="F29" s="312">
        <f t="shared" si="1"/>
        <v>8.7984890398538337E-2</v>
      </c>
      <c r="G29" s="3" t="s">
        <v>139</v>
      </c>
    </row>
    <row r="30" spans="2:7" x14ac:dyDescent="0.3">
      <c r="B30" s="19" t="s">
        <v>1</v>
      </c>
      <c r="C30" s="117" t="s">
        <v>2</v>
      </c>
      <c r="D30" s="313">
        <f>INDEX('Baseline with discounts &gt;&gt;&gt;'!$F$17:$F$45,MATCH('L1Maximizing Participation &gt;&gt;&gt;'!C30,'Baseline with discounts &gt;&gt;&gt;'!$C$17:$C$45,0))</f>
        <v>1.1335143143346389</v>
      </c>
      <c r="E30" s="22">
        <f>'L1Maximize Participation Logic'!$C$2</f>
        <v>0.39798025693035827</v>
      </c>
      <c r="F30" s="312">
        <f t="shared" si="1"/>
        <v>0.45111631805313845</v>
      </c>
      <c r="G30" s="3" t="s">
        <v>139</v>
      </c>
    </row>
    <row r="31" spans="2:7" x14ac:dyDescent="0.3">
      <c r="B31" s="19" t="s">
        <v>1</v>
      </c>
      <c r="C31" s="117" t="s">
        <v>19</v>
      </c>
      <c r="D31" s="313">
        <f>INDEX('Baseline with discounts &gt;&gt;&gt;'!$F$17:$F$45,MATCH('L1Maximizing Participation &gt;&gt;&gt;'!C31,'Baseline with discounts &gt;&gt;&gt;'!$C$17:$C$45,0))</f>
        <v>0.39060410416093894</v>
      </c>
      <c r="E31" s="22">
        <f>'L1Maximize Participation Logic'!$C$2</f>
        <v>0.39798025693035827</v>
      </c>
      <c r="F31" s="312">
        <f t="shared" si="1"/>
        <v>0.1554527217320229</v>
      </c>
      <c r="G31" s="3" t="s">
        <v>139</v>
      </c>
    </row>
    <row r="32" spans="2:7" x14ac:dyDescent="0.3">
      <c r="B32" s="19" t="s">
        <v>3</v>
      </c>
      <c r="C32" s="117" t="s">
        <v>567</v>
      </c>
      <c r="D32" s="313">
        <f>INDEX('Baseline with discounts &gt;&gt;&gt;'!$F$17:$F$45,MATCH('L1Maximizing Participation &gt;&gt;&gt;'!C32,'Baseline with discounts &gt;&gt;&gt;'!$C$17:$C$45,0))</f>
        <v>0</v>
      </c>
      <c r="E32" s="22">
        <f>'L1Maximize Participation Logic'!$C$2</f>
        <v>0.39798025693035827</v>
      </c>
      <c r="F32" s="312">
        <f t="shared" si="1"/>
        <v>0</v>
      </c>
      <c r="G32" s="3" t="s">
        <v>65</v>
      </c>
    </row>
    <row r="33" spans="2:7" x14ac:dyDescent="0.3">
      <c r="B33" s="19" t="s">
        <v>3</v>
      </c>
      <c r="C33" s="117" t="s">
        <v>20</v>
      </c>
      <c r="D33" s="313">
        <f>INDEX('Baseline with discounts &gt;&gt;&gt;'!$F$17:$F$45,MATCH('L1Maximizing Participation &gt;&gt;&gt;'!C33,'Baseline with discounts &gt;&gt;&gt;'!$C$17:$C$45,0))</f>
        <v>0</v>
      </c>
      <c r="E33" s="22">
        <f>'L1Maximize Participation Logic'!$C$2</f>
        <v>0.39798025693035827</v>
      </c>
      <c r="F33" s="312">
        <f t="shared" si="1"/>
        <v>0</v>
      </c>
      <c r="G33" s="3" t="s">
        <v>65</v>
      </c>
    </row>
    <row r="34" spans="2:7" x14ac:dyDescent="0.3">
      <c r="B34" s="19" t="s">
        <v>3</v>
      </c>
      <c r="C34" s="117" t="s">
        <v>21</v>
      </c>
      <c r="D34" s="313">
        <f>INDEX('Baseline with discounts &gt;&gt;&gt;'!$F$17:$F$45,MATCH('L1Maximizing Participation &gt;&gt;&gt;'!C34,'Baseline with discounts &gt;&gt;&gt;'!$C$17:$C$45,0))</f>
        <v>0</v>
      </c>
      <c r="E34" s="22">
        <f>'L1Maximize Participation Logic'!$C$2</f>
        <v>0.39798025693035827</v>
      </c>
      <c r="F34" s="312">
        <f t="shared" si="1"/>
        <v>0</v>
      </c>
      <c r="G34" s="3" t="s">
        <v>65</v>
      </c>
    </row>
    <row r="35" spans="2:7" x14ac:dyDescent="0.3">
      <c r="B35" s="19" t="s">
        <v>3</v>
      </c>
      <c r="C35" s="117" t="s">
        <v>22</v>
      </c>
      <c r="D35" s="313">
        <f>INDEX('Baseline with discounts &gt;&gt;&gt;'!$F$17:$F$45,MATCH('L1Maximizing Participation &gt;&gt;&gt;'!C35,'Baseline with discounts &gt;&gt;&gt;'!$C$17:$C$45,0))</f>
        <v>0</v>
      </c>
      <c r="E35" s="22">
        <f>'L1Maximize Participation Logic'!$C$2</f>
        <v>0.39798025693035827</v>
      </c>
      <c r="F35" s="312">
        <f t="shared" si="1"/>
        <v>0</v>
      </c>
      <c r="G35" s="3" t="s">
        <v>65</v>
      </c>
    </row>
    <row r="36" spans="2:7" x14ac:dyDescent="0.3">
      <c r="B36" s="18" t="s">
        <v>4</v>
      </c>
      <c r="C36" s="117" t="s">
        <v>23</v>
      </c>
      <c r="D36" s="313">
        <f>INDEX('Baseline with discounts &gt;&gt;&gt;'!$F$17:$F$45,MATCH('L1Maximizing Participation &gt;&gt;&gt;'!C36,'Baseline with discounts &gt;&gt;&gt;'!$C$17:$C$45,0))</f>
        <v>0</v>
      </c>
      <c r="E36" s="22">
        <f>'L1Maximize Participation Logic'!$C$2</f>
        <v>0.39798025693035827</v>
      </c>
      <c r="F36" s="312">
        <f t="shared" si="1"/>
        <v>0</v>
      </c>
      <c r="G36" s="3" t="s">
        <v>65</v>
      </c>
    </row>
    <row r="37" spans="2:7" x14ac:dyDescent="0.3">
      <c r="B37" s="19" t="s">
        <v>5</v>
      </c>
      <c r="C37" s="117" t="s">
        <v>24</v>
      </c>
      <c r="D37" s="313">
        <f>INDEX('Baseline with discounts &gt;&gt;&gt;'!$F$17:$F$45,MATCH('L1Maximizing Participation &gt;&gt;&gt;'!C37,'Baseline with discounts &gt;&gt;&gt;'!$C$17:$C$45,0))</f>
        <v>6.2717748317090316E-2</v>
      </c>
      <c r="E37" s="22">
        <f>'L1Maximize Participation Logic'!$C$2</f>
        <v>0.39798025693035827</v>
      </c>
      <c r="F37" s="312">
        <f t="shared" si="1"/>
        <v>2.4960425589329149E-2</v>
      </c>
      <c r="G37" s="3" t="s">
        <v>139</v>
      </c>
    </row>
    <row r="38" spans="2:7" x14ac:dyDescent="0.3">
      <c r="B38" s="19" t="s">
        <v>5</v>
      </c>
      <c r="C38" s="117" t="s">
        <v>629</v>
      </c>
      <c r="D38" s="313">
        <f>INDEX('Baseline with discounts &gt;&gt;&gt;'!$F$17:$F$45,MATCH('L1Maximizing Participation &gt;&gt;&gt;'!C38,'Baseline with discounts &gt;&gt;&gt;'!$C$17:$C$45,0))</f>
        <v>0.7505148705956568</v>
      </c>
      <c r="E38" s="22">
        <f>'L1Maximize Participation Logic'!$C$2</f>
        <v>0.39798025693035827</v>
      </c>
      <c r="F38" s="312">
        <f t="shared" si="1"/>
        <v>0.29869010102971411</v>
      </c>
      <c r="G38" s="3" t="s">
        <v>139</v>
      </c>
    </row>
    <row r="39" spans="2:7" x14ac:dyDescent="0.3">
      <c r="B39" s="19" t="s">
        <v>5</v>
      </c>
      <c r="C39" s="271" t="s">
        <v>6</v>
      </c>
      <c r="D39" s="313">
        <f>INDEX('Baseline with discounts &gt;&gt;&gt;'!$F$17:$F$45,MATCH('L1Maximizing Participation &gt;&gt;&gt;'!C39,'Baseline with discounts &gt;&gt;&gt;'!$C$17:$C$45,0))</f>
        <v>3.3885162270796396</v>
      </c>
      <c r="E39" s="22">
        <f>'L1Maximize Participation Logic'!$C$2</f>
        <v>0.39798025693035827</v>
      </c>
      <c r="F39" s="312">
        <f t="shared" si="1"/>
        <v>1.3485625586658432</v>
      </c>
      <c r="G39" s="3" t="s">
        <v>139</v>
      </c>
    </row>
    <row r="40" spans="2:7" x14ac:dyDescent="0.3">
      <c r="B40" s="19" t="s">
        <v>542</v>
      </c>
      <c r="C40" s="271" t="s">
        <v>488</v>
      </c>
      <c r="D40" s="313">
        <f>INDEX('Baseline with discounts &gt;&gt;&gt;'!$F$17:$F$45,MATCH('L1Maximizing Participation &gt;&gt;&gt;'!C40,'Baseline with discounts &gt;&gt;&gt;'!$C$17:$C$45,0))</f>
        <v>10.135644776518481</v>
      </c>
      <c r="E40" s="22">
        <f>'L1Maximize Participation Logic'!$C$2</f>
        <v>0.39798025693035827</v>
      </c>
      <c r="F40" s="312">
        <f t="shared" si="1"/>
        <v>4.0337865123136689</v>
      </c>
      <c r="G40" s="3" t="s">
        <v>139</v>
      </c>
    </row>
    <row r="41" spans="2:7" ht="28" x14ac:dyDescent="0.3">
      <c r="B41" s="19" t="s">
        <v>542</v>
      </c>
      <c r="C41" s="271" t="s">
        <v>490</v>
      </c>
      <c r="D41" s="313">
        <f>INDEX('Baseline with discounts &gt;&gt;&gt;'!$F$17:$F$45,MATCH('L1Maximizing Participation &gt;&gt;&gt;'!C41,'Baseline with discounts &gt;&gt;&gt;'!$C$17:$C$45,0))</f>
        <v>7.8382528425241622</v>
      </c>
      <c r="E41" s="22">
        <f>'L1Maximize Participation Logic'!$C$2</f>
        <v>0.39798025693035827</v>
      </c>
      <c r="F41" s="312">
        <f t="shared" si="1"/>
        <v>3.1194698801528773</v>
      </c>
      <c r="G41" s="3" t="s">
        <v>139</v>
      </c>
    </row>
    <row r="42" spans="2:7" x14ac:dyDescent="0.3">
      <c r="B42" s="19" t="s">
        <v>542</v>
      </c>
      <c r="C42" s="271" t="s">
        <v>489</v>
      </c>
      <c r="D42" s="313">
        <f>INDEX('Baseline with discounts &gt;&gt;&gt;'!$F$17:$F$45,MATCH('L1Maximizing Participation &gt;&gt;&gt;'!C42,'Baseline with discounts &gt;&gt;&gt;'!$C$17:$C$45,0))</f>
        <v>6.9156814359510435</v>
      </c>
      <c r="E42" s="22">
        <f>'L1Maximize Participation Logic'!$C$2</f>
        <v>0.39798025693035827</v>
      </c>
      <c r="F42" s="312">
        <f>E42*D42</f>
        <v>2.7523046747283053</v>
      </c>
    </row>
    <row r="43" spans="2:7" x14ac:dyDescent="0.3">
      <c r="B43" s="19" t="s">
        <v>542</v>
      </c>
      <c r="C43" s="271" t="s">
        <v>492</v>
      </c>
      <c r="D43" s="313">
        <f>INDEX('Baseline with discounts &gt;&gt;&gt;'!$F$17:$F$45,MATCH('L1Maximizing Participation &gt;&gt;&gt;'!C43,'Baseline with discounts &gt;&gt;&gt;'!$C$17:$C$45,0))</f>
        <v>3.2760499496618012</v>
      </c>
      <c r="E43" s="22">
        <f>'L1Maximize Participation Logic'!$C$2</f>
        <v>0.39798025693035827</v>
      </c>
      <c r="F43" s="312">
        <f t="shared" si="1"/>
        <v>1.3038032006830909</v>
      </c>
      <c r="G43" s="3" t="s">
        <v>139</v>
      </c>
    </row>
    <row r="44" spans="2:7" ht="28" x14ac:dyDescent="0.3">
      <c r="B44" s="19" t="s">
        <v>542</v>
      </c>
      <c r="C44" s="271" t="s">
        <v>633</v>
      </c>
      <c r="D44" s="313">
        <f>INDEX('Baseline with discounts &gt;&gt;&gt;'!$F$17:$F$45,MATCH('L1Maximizing Participation &gt;&gt;&gt;'!C44,'Baseline with discounts &gt;&gt;&gt;'!$C$17:$C$45,0))</f>
        <v>4.2231853235493677</v>
      </c>
      <c r="E44" s="22">
        <f>'L1Maximize Participation Logic'!$C$2</f>
        <v>0.39798025693035827</v>
      </c>
      <c r="F44" s="312">
        <f>E44*D44</f>
        <v>1.6807443801306956</v>
      </c>
      <c r="G44" s="3" t="s">
        <v>139</v>
      </c>
    </row>
    <row r="45" spans="2:7" x14ac:dyDescent="0.3">
      <c r="B45" s="19" t="s">
        <v>542</v>
      </c>
      <c r="C45" s="271" t="s">
        <v>491</v>
      </c>
      <c r="D45" s="313">
        <f>INDEX('Baseline with discounts &gt;&gt;&gt;'!$F$17:$F$45,MATCH('L1Maximizing Participation &gt;&gt;&gt;'!C45,'Baseline with discounts &gt;&gt;&gt;'!$C$17:$C$45,0))</f>
        <v>2.8683185217902638</v>
      </c>
      <c r="E45" s="22">
        <f>'L1Maximize Participation Logic'!$C$2</f>
        <v>0.39798025693035827</v>
      </c>
      <c r="F45" s="312">
        <f>E45*D45</f>
        <v>1.1415341422601946</v>
      </c>
      <c r="G45" s="3" t="s">
        <v>139</v>
      </c>
    </row>
    <row r="46" spans="2:7" x14ac:dyDescent="0.3">
      <c r="B46" s="71" t="s">
        <v>121</v>
      </c>
      <c r="C46" s="72" t="s">
        <v>72</v>
      </c>
      <c r="D46" s="422">
        <f>SUM(D27:D45)</f>
        <v>41.698707629575722</v>
      </c>
      <c r="E46" s="423"/>
      <c r="F46" s="422">
        <f>SUM(F27:F45)</f>
        <v>16.595262376082434</v>
      </c>
      <c r="G46" s="423"/>
    </row>
    <row r="47" spans="2:7" x14ac:dyDescent="0.3">
      <c r="D47" s="313"/>
      <c r="F47" s="313"/>
    </row>
    <row r="48" spans="2:7" ht="56" x14ac:dyDescent="0.3">
      <c r="B48" s="32" t="s">
        <v>8</v>
      </c>
      <c r="C48" s="32" t="s">
        <v>7</v>
      </c>
      <c r="D48" s="31" t="s">
        <v>138</v>
      </c>
      <c r="E48" s="60" t="s">
        <v>142</v>
      </c>
      <c r="F48" s="31" t="s">
        <v>710</v>
      </c>
      <c r="G48" s="31" t="s">
        <v>63</v>
      </c>
    </row>
    <row r="49" spans="2:7" x14ac:dyDescent="0.3">
      <c r="B49" s="424" t="s">
        <v>12</v>
      </c>
      <c r="C49" s="425" t="s">
        <v>627</v>
      </c>
      <c r="D49" s="426">
        <f>'L1Food Waste'!C10</f>
        <v>3.9866392737077887</v>
      </c>
      <c r="E49" s="427" t="s">
        <v>625</v>
      </c>
      <c r="F49" s="428">
        <f>D49</f>
        <v>3.9866392737077887</v>
      </c>
      <c r="G49" s="423" t="s">
        <v>626</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6E1C7-399B-4C73-B414-6DDDBAF82578}">
  <sheetPr codeName="Sheet9">
    <tabColor theme="8" tint="0.59999389629810485"/>
  </sheetPr>
  <dimension ref="B2:I46"/>
  <sheetViews>
    <sheetView showGridLines="0" zoomScale="105" zoomScaleNormal="70" workbookViewId="0"/>
  </sheetViews>
  <sheetFormatPr defaultColWidth="8.6640625" defaultRowHeight="14" x14ac:dyDescent="0.3"/>
  <cols>
    <col min="1" max="1" width="8.6640625" style="3"/>
    <col min="2" max="2" width="102.1640625" style="3" bestFit="1" customWidth="1"/>
    <col min="3" max="3" width="21.5" style="3" bestFit="1" customWidth="1"/>
    <col min="4" max="4" width="31.58203125" style="3" bestFit="1" customWidth="1"/>
    <col min="5" max="5" width="41.4140625" style="3" customWidth="1"/>
    <col min="6" max="16384" width="8.6640625" style="3"/>
  </cols>
  <sheetData>
    <row r="2" spans="2:9" x14ac:dyDescent="0.3">
      <c r="B2" s="254" t="s">
        <v>599</v>
      </c>
      <c r="C2" s="63">
        <f>C18</f>
        <v>0.39798025693035827</v>
      </c>
    </row>
    <row r="4" spans="2:9" x14ac:dyDescent="0.3">
      <c r="B4" s="43" t="s">
        <v>79</v>
      </c>
      <c r="C4" s="43" t="s">
        <v>7</v>
      </c>
      <c r="D4" s="43" t="s">
        <v>42</v>
      </c>
      <c r="E4" s="43" t="s">
        <v>13</v>
      </c>
      <c r="G4" s="3" t="s">
        <v>628</v>
      </c>
    </row>
    <row r="5" spans="2:9" x14ac:dyDescent="0.3">
      <c r="B5" s="15" t="s">
        <v>507</v>
      </c>
      <c r="C5" s="118">
        <v>26206442</v>
      </c>
      <c r="D5" s="3" t="s">
        <v>315</v>
      </c>
      <c r="E5" s="3" t="s">
        <v>508</v>
      </c>
    </row>
    <row r="6" spans="2:9" x14ac:dyDescent="0.3">
      <c r="B6" s="15" t="s">
        <v>512</v>
      </c>
      <c r="C6" s="118">
        <f>C5*2</f>
        <v>52412884</v>
      </c>
      <c r="D6" s="3" t="s">
        <v>316</v>
      </c>
      <c r="E6" s="3" t="s">
        <v>152</v>
      </c>
    </row>
    <row r="7" spans="2:9" x14ac:dyDescent="0.3">
      <c r="B7" s="15" t="s">
        <v>512</v>
      </c>
      <c r="C7" s="280">
        <f>C6/10^6</f>
        <v>52.412883999999998</v>
      </c>
      <c r="D7" s="3" t="s">
        <v>521</v>
      </c>
      <c r="E7" s="3" t="s">
        <v>152</v>
      </c>
    </row>
    <row r="8" spans="2:9" x14ac:dyDescent="0.3">
      <c r="B8" s="15" t="s">
        <v>509</v>
      </c>
      <c r="C8" s="48">
        <v>29.6</v>
      </c>
      <c r="D8" s="48" t="s">
        <v>82</v>
      </c>
      <c r="E8" s="48" t="s">
        <v>83</v>
      </c>
    </row>
    <row r="9" spans="2:9" x14ac:dyDescent="0.3">
      <c r="B9" s="15" t="s">
        <v>510</v>
      </c>
      <c r="C9" s="277">
        <v>0.75</v>
      </c>
      <c r="D9" s="5" t="s">
        <v>518</v>
      </c>
      <c r="E9" s="48" t="s">
        <v>513</v>
      </c>
    </row>
    <row r="10" spans="2:9" x14ac:dyDescent="0.3">
      <c r="B10" s="15" t="s">
        <v>511</v>
      </c>
      <c r="C10" s="48">
        <f>C9*C8</f>
        <v>22.200000000000003</v>
      </c>
      <c r="D10" s="5" t="s">
        <v>82</v>
      </c>
      <c r="E10" s="5" t="s">
        <v>152</v>
      </c>
      <c r="F10" s="3">
        <v>26.2</v>
      </c>
      <c r="G10" s="317">
        <v>3.32</v>
      </c>
      <c r="H10" s="317">
        <f>G10*C10</f>
        <v>73.704000000000008</v>
      </c>
      <c r="I10" s="317">
        <f>G10*F10</f>
        <v>86.983999999999995</v>
      </c>
    </row>
    <row r="11" spans="2:9" x14ac:dyDescent="0.3">
      <c r="B11" s="119" t="s">
        <v>601</v>
      </c>
      <c r="C11" s="258">
        <f>C10/C7</f>
        <v>0.42355997811530471</v>
      </c>
      <c r="D11" s="221"/>
      <c r="E11" s="221" t="s">
        <v>152</v>
      </c>
      <c r="I11" s="317"/>
    </row>
    <row r="12" spans="2:9" x14ac:dyDescent="0.3">
      <c r="B12" s="15" t="s">
        <v>514</v>
      </c>
      <c r="C12" s="48">
        <v>14.77</v>
      </c>
      <c r="D12" s="48" t="s">
        <v>82</v>
      </c>
      <c r="E12" s="281" t="s">
        <v>83</v>
      </c>
      <c r="I12" s="317"/>
    </row>
    <row r="13" spans="2:9" x14ac:dyDescent="0.3">
      <c r="B13" s="15" t="s">
        <v>515</v>
      </c>
      <c r="C13" s="277">
        <v>0.85</v>
      </c>
      <c r="D13" s="221" t="s">
        <v>516</v>
      </c>
      <c r="E13" s="48" t="s">
        <v>517</v>
      </c>
      <c r="I13" s="317"/>
    </row>
    <row r="14" spans="2:9" x14ac:dyDescent="0.3">
      <c r="B14" s="15" t="s">
        <v>519</v>
      </c>
      <c r="C14" s="278">
        <f>C12*C13</f>
        <v>12.554499999999999</v>
      </c>
      <c r="D14" s="221" t="s">
        <v>82</v>
      </c>
      <c r="E14" s="221" t="s">
        <v>152</v>
      </c>
      <c r="F14" s="3">
        <v>26.2</v>
      </c>
      <c r="G14" s="317">
        <v>1.88</v>
      </c>
      <c r="H14" s="3">
        <f>G14*C14</f>
        <v>23.602459999999997</v>
      </c>
      <c r="I14" s="317">
        <f>G14*F14</f>
        <v>49.255999999999993</v>
      </c>
    </row>
    <row r="15" spans="2:9" x14ac:dyDescent="0.3">
      <c r="B15" s="119" t="s">
        <v>600</v>
      </c>
      <c r="C15" s="258">
        <f>C14/C7</f>
        <v>0.23953079933552215</v>
      </c>
      <c r="D15" s="221"/>
      <c r="E15" s="221" t="s">
        <v>152</v>
      </c>
      <c r="H15" s="317">
        <f>SUM(H10,H14)</f>
        <v>97.306460000000001</v>
      </c>
      <c r="I15" s="317">
        <f>SUM(I10,I14)</f>
        <v>136.23999999999998</v>
      </c>
    </row>
    <row r="16" spans="2:9" x14ac:dyDescent="0.3">
      <c r="B16" s="4" t="s">
        <v>520</v>
      </c>
      <c r="C16" s="282">
        <f>SUM(C14,C10)</f>
        <v>34.7545</v>
      </c>
      <c r="D16" s="5" t="s">
        <v>82</v>
      </c>
      <c r="E16" s="221" t="s">
        <v>152</v>
      </c>
    </row>
    <row r="17" spans="2:6" x14ac:dyDescent="0.3">
      <c r="B17" s="59" t="s">
        <v>708</v>
      </c>
      <c r="C17" s="283">
        <f>ABS(C16-C7)</f>
        <v>17.658383999999998</v>
      </c>
      <c r="D17" s="5" t="s">
        <v>82</v>
      </c>
      <c r="E17" s="221" t="s">
        <v>152</v>
      </c>
    </row>
    <row r="18" spans="2:6" x14ac:dyDescent="0.3">
      <c r="B18" s="30" t="s">
        <v>522</v>
      </c>
      <c r="C18" s="284">
        <f>C17/SUM(C8,C12)</f>
        <v>0.39798025693035827</v>
      </c>
      <c r="D18" s="32" t="s">
        <v>523</v>
      </c>
      <c r="E18" s="32" t="s">
        <v>152</v>
      </c>
    </row>
    <row r="19" spans="2:6" x14ac:dyDescent="0.3">
      <c r="B19" s="4"/>
      <c r="C19" s="279"/>
    </row>
    <row r="20" spans="2:6" ht="14.5" thickBot="1" x14ac:dyDescent="0.35">
      <c r="B20"/>
      <c r="C20"/>
      <c r="D20"/>
      <c r="E20"/>
      <c r="F20"/>
    </row>
    <row r="21" spans="2:6" x14ac:dyDescent="0.3">
      <c r="B21" s="460" t="s">
        <v>85</v>
      </c>
      <c r="C21" s="461"/>
      <c r="D21" s="461"/>
      <c r="E21" s="461"/>
      <c r="F21" s="462"/>
    </row>
    <row r="22" spans="2:6" x14ac:dyDescent="0.3">
      <c r="B22" s="47" t="s">
        <v>86</v>
      </c>
      <c r="C22" s="48"/>
      <c r="D22" s="48"/>
      <c r="E22" s="48"/>
      <c r="F22" s="49"/>
    </row>
    <row r="23" spans="2:6" ht="14.5" thickBot="1" x14ac:dyDescent="0.35">
      <c r="B23" s="44" t="s">
        <v>524</v>
      </c>
      <c r="C23" s="45"/>
      <c r="D23" s="45"/>
      <c r="E23" s="45"/>
      <c r="F23" s="46"/>
    </row>
    <row r="24" spans="2:6" x14ac:dyDescent="0.3">
      <c r="B24"/>
      <c r="C24"/>
      <c r="D24"/>
      <c r="E24"/>
    </row>
    <row r="25" spans="2:6" x14ac:dyDescent="0.3">
      <c r="B25"/>
      <c r="C25"/>
      <c r="D25"/>
      <c r="E25"/>
    </row>
    <row r="26" spans="2:6" customFormat="1" x14ac:dyDescent="0.3"/>
    <row r="27" spans="2:6" customFormat="1" x14ac:dyDescent="0.3"/>
    <row r="28" spans="2:6" customFormat="1" x14ac:dyDescent="0.3"/>
    <row r="29" spans="2:6" customFormat="1" x14ac:dyDescent="0.3"/>
    <row r="30" spans="2:6" customFormat="1" x14ac:dyDescent="0.3"/>
    <row r="31" spans="2:6" customFormat="1" x14ac:dyDescent="0.3"/>
    <row r="32" spans="2:6" customFormat="1" x14ac:dyDescent="0.3"/>
    <row r="33" customFormat="1" x14ac:dyDescent="0.3"/>
    <row r="34" customForma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row r="45" customFormat="1" x14ac:dyDescent="0.3"/>
    <row r="46" customFormat="1" x14ac:dyDescent="0.3"/>
  </sheetData>
  <mergeCells count="1">
    <mergeCell ref="B21:F21"/>
  </mergeCells>
  <hyperlinks>
    <hyperlink ref="E12" r:id="rId1" xr:uid="{1BC27B09-DAA4-4E75-AE01-FC1E78CB3B1E}"/>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85069-EDED-4219-BE94-06E4D9B40001}">
  <sheetPr>
    <tabColor theme="8" tint="0.59999389629810485"/>
  </sheetPr>
  <dimension ref="A2:F50"/>
  <sheetViews>
    <sheetView showGridLines="0" zoomScale="105" zoomScaleNormal="70" workbookViewId="0"/>
  </sheetViews>
  <sheetFormatPr defaultColWidth="8.6640625" defaultRowHeight="14" x14ac:dyDescent="0.3"/>
  <cols>
    <col min="1" max="1" width="8.6640625" style="3"/>
    <col min="2" max="2" width="72.83203125" style="3" customWidth="1"/>
    <col min="3" max="3" width="12.9140625" style="3" bestFit="1" customWidth="1"/>
    <col min="4" max="4" width="31.58203125" style="3" bestFit="1" customWidth="1"/>
    <col min="5" max="5" width="41.4140625" style="3" customWidth="1"/>
    <col min="6" max="16384" width="8.6640625" style="3"/>
  </cols>
  <sheetData>
    <row r="2" spans="2:6" x14ac:dyDescent="0.3">
      <c r="B2" s="254" t="s">
        <v>717</v>
      </c>
      <c r="C2"/>
    </row>
    <row r="4" spans="2:6" x14ac:dyDescent="0.3">
      <c r="B4" s="43" t="s">
        <v>79</v>
      </c>
      <c r="C4" s="43" t="s">
        <v>7</v>
      </c>
      <c r="D4" s="43" t="s">
        <v>42</v>
      </c>
      <c r="E4" s="43" t="s">
        <v>13</v>
      </c>
    </row>
    <row r="5" spans="2:6" x14ac:dyDescent="0.3">
      <c r="B5" s="15" t="s">
        <v>619</v>
      </c>
      <c r="C5" s="118">
        <v>607474</v>
      </c>
      <c r="D5" s="3" t="s">
        <v>620</v>
      </c>
      <c r="E5" s="3" t="s">
        <v>621</v>
      </c>
    </row>
    <row r="6" spans="2:6" x14ac:dyDescent="0.3">
      <c r="B6" s="15" t="s">
        <v>623</v>
      </c>
      <c r="C6" s="280">
        <v>2885980.418383</v>
      </c>
      <c r="D6" s="3" t="s">
        <v>624</v>
      </c>
      <c r="E6" s="3" t="s">
        <v>621</v>
      </c>
    </row>
    <row r="7" spans="2:6" x14ac:dyDescent="0.3">
      <c r="B7" s="15" t="s">
        <v>622</v>
      </c>
      <c r="C7" s="311">
        <f>5089619605.358/10^9</f>
        <v>5.0896196053580001</v>
      </c>
      <c r="D7" s="3" t="s">
        <v>16</v>
      </c>
      <c r="E7" s="3" t="s">
        <v>621</v>
      </c>
    </row>
    <row r="8" spans="2:6" x14ac:dyDescent="0.3">
      <c r="B8" s="3" t="s">
        <v>701</v>
      </c>
      <c r="C8" s="52">
        <f>'L1Maximize Participation Logic'!C16/SUM('L1Maximize Participation Logic'!C8,'L1Maximize Participation Logic'!C12)</f>
        <v>0.78328825783186828</v>
      </c>
      <c r="E8" s="5" t="s">
        <v>152</v>
      </c>
    </row>
    <row r="9" spans="2:6" x14ac:dyDescent="0.3">
      <c r="B9" s="297" t="s">
        <v>700</v>
      </c>
      <c r="C9" s="214">
        <f>C8</f>
        <v>0.78328825783186828</v>
      </c>
      <c r="D9"/>
      <c r="E9"/>
    </row>
    <row r="10" spans="2:6" x14ac:dyDescent="0.3">
      <c r="B10" s="72" t="s">
        <v>704</v>
      </c>
      <c r="C10" s="75">
        <f>C7*C9</f>
        <v>3.9866392737077887</v>
      </c>
      <c r="D10" s="69" t="s">
        <v>16</v>
      </c>
      <c r="E10" s="72" t="s">
        <v>152</v>
      </c>
    </row>
    <row r="11" spans="2:6" ht="14.5" thickBot="1" x14ac:dyDescent="0.35">
      <c r="B11" s="297"/>
      <c r="C11"/>
      <c r="D11"/>
      <c r="E11"/>
    </row>
    <row r="12" spans="2:6" x14ac:dyDescent="0.3">
      <c r="B12" s="460" t="s">
        <v>85</v>
      </c>
      <c r="C12" s="461"/>
      <c r="D12" s="461"/>
      <c r="E12" s="461"/>
      <c r="F12" s="462"/>
    </row>
    <row r="13" spans="2:6" x14ac:dyDescent="0.3">
      <c r="B13" s="47" t="s">
        <v>702</v>
      </c>
      <c r="C13" s="48"/>
      <c r="D13" s="48"/>
      <c r="E13" s="48"/>
      <c r="F13" s="49"/>
    </row>
    <row r="14" spans="2:6" ht="14.5" thickBot="1" x14ac:dyDescent="0.35">
      <c r="B14" s="44" t="s">
        <v>703</v>
      </c>
      <c r="C14" s="45"/>
      <c r="D14" s="45"/>
      <c r="E14" s="45"/>
      <c r="F14" s="46"/>
    </row>
    <row r="15" spans="2:6" x14ac:dyDescent="0.3">
      <c r="B15"/>
      <c r="C15"/>
      <c r="D15"/>
      <c r="E15"/>
    </row>
    <row r="16" spans="2:6" x14ac:dyDescent="0.3">
      <c r="B16"/>
      <c r="C16"/>
      <c r="D16"/>
      <c r="E16"/>
    </row>
    <row r="17" spans="1:6" x14ac:dyDescent="0.3">
      <c r="B17"/>
      <c r="C17"/>
      <c r="D17"/>
      <c r="E17"/>
    </row>
    <row r="18" spans="1:6" x14ac:dyDescent="0.3">
      <c r="B18"/>
      <c r="C18"/>
      <c r="D18"/>
      <c r="E18"/>
    </row>
    <row r="19" spans="1:6" x14ac:dyDescent="0.3">
      <c r="B19"/>
      <c r="C19"/>
      <c r="D19"/>
      <c r="E19"/>
    </row>
    <row r="20" spans="1:6" x14ac:dyDescent="0.3">
      <c r="B20"/>
      <c r="C20"/>
      <c r="D20"/>
      <c r="E20"/>
    </row>
    <row r="21" spans="1:6" x14ac:dyDescent="0.3">
      <c r="B21"/>
      <c r="C21"/>
      <c r="D21"/>
      <c r="E21"/>
      <c r="F21"/>
    </row>
    <row r="22" spans="1:6" x14ac:dyDescent="0.3">
      <c r="A22"/>
      <c r="B22"/>
      <c r="C22"/>
      <c r="D22"/>
      <c r="E22"/>
      <c r="F22"/>
    </row>
    <row r="23" spans="1:6" x14ac:dyDescent="0.3">
      <c r="A23"/>
      <c r="B23"/>
      <c r="C23"/>
      <c r="D23"/>
      <c r="E23"/>
      <c r="F23"/>
    </row>
    <row r="24" spans="1:6" x14ac:dyDescent="0.3">
      <c r="A24"/>
      <c r="B24"/>
      <c r="C24"/>
      <c r="D24"/>
      <c r="E24"/>
      <c r="F24"/>
    </row>
    <row r="25" spans="1:6" x14ac:dyDescent="0.3">
      <c r="A25"/>
      <c r="B25"/>
      <c r="C25"/>
      <c r="D25"/>
      <c r="E25"/>
      <c r="F25"/>
    </row>
    <row r="26" spans="1:6" x14ac:dyDescent="0.3">
      <c r="A26"/>
      <c r="B26"/>
      <c r="C26"/>
      <c r="D26"/>
      <c r="E26"/>
      <c r="F26"/>
    </row>
    <row r="27" spans="1:6" x14ac:dyDescent="0.3">
      <c r="A27"/>
      <c r="B27"/>
      <c r="C27"/>
      <c r="D27"/>
      <c r="E27"/>
      <c r="F27"/>
    </row>
    <row r="28" spans="1:6" x14ac:dyDescent="0.3">
      <c r="A28"/>
      <c r="B28"/>
      <c r="C28"/>
      <c r="D28"/>
      <c r="E28"/>
      <c r="F28"/>
    </row>
    <row r="29" spans="1:6" x14ac:dyDescent="0.3">
      <c r="A29"/>
      <c r="B29"/>
      <c r="C29"/>
      <c r="D29"/>
      <c r="E29"/>
      <c r="F29"/>
    </row>
    <row r="30" spans="1:6" x14ac:dyDescent="0.3">
      <c r="B30"/>
      <c r="C30"/>
      <c r="D30"/>
      <c r="E30"/>
      <c r="F30"/>
    </row>
    <row r="31" spans="1:6" x14ac:dyDescent="0.3">
      <c r="B31"/>
      <c r="C31"/>
      <c r="D31"/>
      <c r="E31"/>
      <c r="F31"/>
    </row>
    <row r="32" spans="1:6" x14ac:dyDescent="0.3">
      <c r="B32"/>
      <c r="C32"/>
      <c r="D32"/>
      <c r="E32"/>
      <c r="F32"/>
    </row>
    <row r="33" spans="2:6" x14ac:dyDescent="0.3">
      <c r="B33"/>
      <c r="C33"/>
      <c r="D33"/>
      <c r="E33"/>
      <c r="F33"/>
    </row>
    <row r="34" spans="2:6" x14ac:dyDescent="0.3">
      <c r="B34"/>
      <c r="C34"/>
      <c r="D34"/>
      <c r="E34"/>
      <c r="F34"/>
    </row>
    <row r="35" spans="2:6" x14ac:dyDescent="0.3">
      <c r="B35"/>
      <c r="C35"/>
      <c r="D35"/>
      <c r="E35"/>
      <c r="F35"/>
    </row>
    <row r="36" spans="2:6" x14ac:dyDescent="0.3">
      <c r="B36"/>
      <c r="C36"/>
      <c r="D36"/>
      <c r="E36"/>
      <c r="F36"/>
    </row>
    <row r="37" spans="2:6" x14ac:dyDescent="0.3">
      <c r="B37"/>
      <c r="C37"/>
      <c r="D37"/>
      <c r="E37"/>
      <c r="F37"/>
    </row>
    <row r="38" spans="2:6" x14ac:dyDescent="0.3">
      <c r="B38"/>
      <c r="C38"/>
      <c r="D38"/>
      <c r="E38"/>
      <c r="F38"/>
    </row>
    <row r="39" spans="2:6" x14ac:dyDescent="0.3">
      <c r="B39"/>
      <c r="C39"/>
      <c r="D39"/>
      <c r="E39"/>
      <c r="F39"/>
    </row>
    <row r="40" spans="2:6" x14ac:dyDescent="0.3">
      <c r="B40"/>
      <c r="C40"/>
      <c r="D40"/>
      <c r="E40"/>
      <c r="F40"/>
    </row>
    <row r="41" spans="2:6" x14ac:dyDescent="0.3">
      <c r="B41"/>
      <c r="C41"/>
      <c r="D41"/>
      <c r="E41"/>
      <c r="F41"/>
    </row>
    <row r="42" spans="2:6" x14ac:dyDescent="0.3">
      <c r="B42"/>
      <c r="C42"/>
      <c r="D42"/>
      <c r="E42"/>
      <c r="F42"/>
    </row>
    <row r="43" spans="2:6" x14ac:dyDescent="0.3">
      <c r="B43"/>
      <c r="C43"/>
      <c r="D43"/>
      <c r="E43"/>
      <c r="F43"/>
    </row>
    <row r="44" spans="2:6" x14ac:dyDescent="0.3">
      <c r="B44"/>
      <c r="C44"/>
      <c r="D44"/>
      <c r="E44"/>
      <c r="F44"/>
    </row>
    <row r="45" spans="2:6" x14ac:dyDescent="0.3">
      <c r="B45"/>
      <c r="C45"/>
      <c r="D45"/>
      <c r="E45"/>
      <c r="F45"/>
    </row>
    <row r="46" spans="2:6" x14ac:dyDescent="0.3">
      <c r="B46"/>
      <c r="C46"/>
      <c r="D46"/>
      <c r="E46"/>
      <c r="F46"/>
    </row>
    <row r="47" spans="2:6" x14ac:dyDescent="0.3">
      <c r="B47"/>
      <c r="C47"/>
      <c r="D47"/>
      <c r="E47"/>
      <c r="F47"/>
    </row>
    <row r="48" spans="2:6" x14ac:dyDescent="0.3">
      <c r="B48"/>
      <c r="C48"/>
      <c r="D48"/>
      <c r="E48"/>
      <c r="F48"/>
    </row>
    <row r="49" spans="2:6" x14ac:dyDescent="0.3">
      <c r="B49"/>
      <c r="C49"/>
      <c r="D49"/>
      <c r="E49"/>
      <c r="F49"/>
    </row>
    <row r="50" spans="2:6" x14ac:dyDescent="0.3">
      <c r="B50"/>
      <c r="C50"/>
      <c r="D50"/>
      <c r="E50"/>
      <c r="F50"/>
    </row>
  </sheetData>
  <mergeCells count="1">
    <mergeCell ref="B12:F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Overview</vt:lpstr>
      <vt:lpstr>Baseline with discounts &gt;&gt;&gt;</vt:lpstr>
      <vt:lpstr>Baseline without discounts</vt:lpstr>
      <vt:lpstr>Discount rate logic</vt:lpstr>
      <vt:lpstr>Poverty alleviation summary</vt:lpstr>
      <vt:lpstr>Consumption metric inputs</vt:lpstr>
      <vt:lpstr>L1Maximizing Participation &gt;&gt;&gt;</vt:lpstr>
      <vt:lpstr>L1Maximize Participation Logic</vt:lpstr>
      <vt:lpstr>L1Food Waste</vt:lpstr>
      <vt:lpstr>L1Maximize Participatio Costs</vt:lpstr>
      <vt:lpstr>L2 Improved Diet Composition &gt;&gt;</vt:lpstr>
      <vt:lpstr>L2Production Metrics</vt:lpstr>
      <vt:lpstr>L2Health Benefits</vt:lpstr>
      <vt:lpstr>L2Diet Comparison</vt:lpstr>
      <vt:lpstr>L2Diet Components</vt:lpstr>
      <vt:lpstr>L2Costs</vt:lpstr>
      <vt:lpstr>L3Optimizing Procurement &gt;&gt;&gt;</vt:lpstr>
      <vt:lpstr>L3Procurement Benefits</vt:lpstr>
      <vt:lpstr>L3Reimbursement Scenario</vt:lpstr>
      <vt:lpstr>Supporting data &gt;&gt;&gt;</vt:lpstr>
      <vt:lpstr>Monetization factors</vt:lpstr>
      <vt:lpstr>GHG inputs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 Perotti</dc:creator>
  <cp:lastModifiedBy>Marano, Marli</cp:lastModifiedBy>
  <cp:lastPrinted>2019-12-06T19:44:44Z</cp:lastPrinted>
  <dcterms:created xsi:type="dcterms:W3CDTF">2019-12-02T20:05:52Z</dcterms:created>
  <dcterms:modified xsi:type="dcterms:W3CDTF">2021-11-15T16:19:54Z</dcterms:modified>
</cp:coreProperties>
</file>